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0" windowWidth="20490" windowHeight="7905" tabRatio="717" activeTab="10"/>
  </bookViews>
  <sheets>
    <sheet name="DL" sheetId="1" r:id="rId1"/>
    <sheet name="TTinDV" sheetId="2" r:id="rId2"/>
    <sheet name="DSUCV" sheetId="3" r:id="rId3"/>
    <sheet name="MauTH" sheetId="4" r:id="rId4"/>
    <sheet name="Mau25" sheetId="5" r:id="rId5"/>
    <sheet name="Mau26" sheetId="6" r:id="rId6"/>
    <sheet name="Mau27" sheetId="7" r:id="rId7"/>
    <sheet name="Mau28" sheetId="8" r:id="rId8"/>
    <sheet name="Mau29A" sheetId="9" r:id="rId9"/>
    <sheet name="Mau20" sheetId="10" r:id="rId10"/>
    <sheet name="Menu" sheetId="11" r:id="rId11"/>
  </sheets>
  <definedNames>
    <definedName name="_xlnm._FilterDatabase" localSheetId="0" hidden="1">'DL'!$A$6:$E$159</definedName>
    <definedName name="_xlfn.IFERROR" hidden="1">#NAME?</definedName>
    <definedName name="_xlfn.IFNA" hidden="1">#NAME?</definedName>
    <definedName name="CRITERIA" localSheetId="2">'DSUCV'!$BD$3:$BD$4</definedName>
    <definedName name="ChMon_TrungCu">'Mau28'!$V$12:$V$16</definedName>
    <definedName name="ChTri_TrungCu">'Mau28'!$P$12:$P$16</definedName>
    <definedName name="Dang_TrungCu">'Mau28'!$L$12:$L$16</definedName>
    <definedName name="DS_22Xa">'DL'!$I$7:$I$28</definedName>
    <definedName name="DS_DiemBC">OFFSET('TTinDV'!$A$5,1,,TS_DiemBC,5)</definedName>
    <definedName name="DToc_TrungCu">'Mau28'!$G$12:$G$16</definedName>
    <definedName name="EXTRACT" localSheetId="2">'DSUCV'!#REF!</definedName>
    <definedName name="EXTRACT" localSheetId="7">'Mau28'!$A$11:$V$11</definedName>
    <definedName name="GhiChu_TrungCu">'Mau28'!$S$12:$S$16</definedName>
    <definedName name="Gioi_TrungCu">'Mau28'!$E$12:$E$16</definedName>
    <definedName name="LoaiCQ_TrungCu">'Mau28'!$U$12:$U$16</definedName>
    <definedName name="_xlnm.Print_Area" localSheetId="9">'Mau20'!$A$1:$I$75</definedName>
    <definedName name="_xlnm.Print_Area" localSheetId="4">'Mau25'!$A$2:$H$85</definedName>
    <definedName name="_xlnm.Print_Area" localSheetId="6">'Mau27'!$1:$220</definedName>
    <definedName name="_xlnm.Print_Area" localSheetId="8">'Mau29A'!$A$1:$BM$40</definedName>
    <definedName name="TaiCu_TrungCu">'Mau28'!$R$12:$R$16</definedName>
    <definedName name="Ten_DVBC">'MauTH'!$AE$11</definedName>
    <definedName name="Ten_ToBC">'MauTH'!$AE$11</definedName>
    <definedName name="TenXa">'TTinDV'!$A$3</definedName>
    <definedName name="TGiao_TrungCu">'Mau28'!$H$12:$H$16</definedName>
    <definedName name="TS_DBduocbau">'TTinDV'!$D$5</definedName>
    <definedName name="TS_DiemBC">COUNTA('TTinDV'!$B$6:$B$69)</definedName>
    <definedName name="TS_UCV">'TTinDV'!$E$5</definedName>
    <definedName name="Tuoi_TrungCu">'Mau28'!$T$12:$T$16</definedName>
  </definedNames>
  <calcPr fullCalcOnLoad="1"/>
</workbook>
</file>

<file path=xl/sharedStrings.xml><?xml version="1.0" encoding="utf-8"?>
<sst xmlns="http://schemas.openxmlformats.org/spreadsheetml/2006/main" count="946" uniqueCount="541">
  <si>
    <t>TỈNH QUẢNG TRỊ</t>
  </si>
  <si>
    <t>THỐNG KÊ KẾT QUẢ CUỘC BẦU CỬ ĐẠI BIỂU HỘI ĐỒNG NHÂN DÂN XÃ NHIỆM KỲ 2016-2021</t>
  </si>
  <si>
    <t>BẦU CỬ NGÀY 22 THÁNG 5 NĂM 2016</t>
  </si>
  <si>
    <t>Số đại biểu được bầu ở đơn vị bầu cử 
số....</t>
  </si>
  <si>
    <t>Số người ứng cử</t>
  </si>
  <si>
    <t>Tổng số cử tri của của khu vực bỏ phiếu hoặc đơn vị bầu cử</t>
  </si>
  <si>
    <t>Tổng số cử tri đã tham gia bỏ phiếu</t>
  </si>
  <si>
    <t>Tỷ lệ cử tri tham gia bỏ phiếu so với tổng số cử tri
(%)</t>
  </si>
  <si>
    <t>KẾT QUẢ BỎ PHIẾU</t>
  </si>
  <si>
    <t>Số khu vực bỏ phiếu trong đơn vị bầu cử</t>
  </si>
  <si>
    <t>SỐ PHIẾU BẦU CHO MỖI ỨNG CỬ</t>
  </si>
  <si>
    <r>
      <rPr>
        <b/>
        <sz val="10"/>
        <rFont val="Times New Roman"/>
        <family val="1"/>
      </rPr>
      <t xml:space="preserve">Tổng số phiếu bầu cho các ứng cử viên  </t>
    </r>
    <r>
      <rPr>
        <sz val="10"/>
        <rFont val="Times New Roman"/>
        <family val="1"/>
      </rPr>
      <t xml:space="preserve">
</t>
    </r>
    <r>
      <rPr>
        <i/>
        <sz val="7"/>
        <rFont val="Times New Roman"/>
        <family val="1"/>
      </rPr>
      <t>(cột 29=21+22+23+24+25+26+27+28)=[(11x1)+(12x2)+(13x3)+(14x4)+(15x5)]</t>
    </r>
  </si>
  <si>
    <t>Số phiếu phát ra</t>
  </si>
  <si>
    <t>Số phiếu thu vào</t>
  </si>
  <si>
    <t>Tỷ lệ số phiếu thu vào so với số phiếu phát ra
(%)</t>
  </si>
  <si>
    <t>SỐ PHIẾU HỢP LỆ</t>
  </si>
  <si>
    <t>Phiếu không hợp lệ</t>
  </si>
  <si>
    <t>Tổng cộng số phiếu đã bầu</t>
  </si>
  <si>
    <t>Tỷ lệ số phiếu hợp lệ so với tổng số phiếu đã bầu
(%)</t>
  </si>
  <si>
    <t>Tỷ lệ số phiếu không hợp lệ so với tổng số phiếu đã bầu
(%)</t>
  </si>
  <si>
    <t>Ứng cử viên số 1</t>
  </si>
  <si>
    <t>Ứng cử viên số 2</t>
  </si>
  <si>
    <t>Ứng cử viên số 3</t>
  </si>
  <si>
    <t>Ứng cử viên số 4</t>
  </si>
  <si>
    <t>Ứng cử viên số 5</t>
  </si>
  <si>
    <t>Ứng cử viên số 6</t>
  </si>
  <si>
    <t>Ứng cử viên số 7</t>
  </si>
  <si>
    <t>Ứng cử viên số 8</t>
  </si>
  <si>
    <r>
      <t xml:space="preserve">Tổng số </t>
    </r>
    <r>
      <rPr>
        <i/>
        <sz val="10"/>
        <rFont val="Times New Roman"/>
        <family val="1"/>
      </rPr>
      <t>(cột 10=11+12+13+14+15)</t>
    </r>
  </si>
  <si>
    <t>Trong đó</t>
  </si>
  <si>
    <t>Số phiếu bầu 1
 đại biểu</t>
  </si>
  <si>
    <t>Số phiếu bầu 2 
đại biểu</t>
  </si>
  <si>
    <t>Số phiếu bầu 3 
đại biểu</t>
  </si>
  <si>
    <t>Số phiếu bầu 4 
đại biểu</t>
  </si>
  <si>
    <t>Số phiếu bầu 5 
đại biểu</t>
  </si>
  <si>
    <t xml:space="preserve">6=5/4 </t>
  </si>
  <si>
    <t>9=8/7</t>
  </si>
  <si>
    <t>17=10+16</t>
  </si>
  <si>
    <t>18=10/17</t>
  </si>
  <si>
    <t>19=16/17</t>
  </si>
  <si>
    <t>Tổ BC</t>
  </si>
  <si>
    <t>Số ĐB được bầu</t>
  </si>
  <si>
    <t>Số UCV</t>
  </si>
  <si>
    <t>Cử tri trong DS</t>
  </si>
  <si>
    <t>Xã Hướng Phùng</t>
  </si>
  <si>
    <t xml:space="preserve">DANH SÁCH PHÊ CHUẨN ĐƠN VỊ BẦU CỬ VÀ SỐ LƯỢNG ĐẠI BIỂU </t>
  </si>
  <si>
    <t>ĐƯỢC BẦU HĐND CÁC XÃ, THỊ TRẤN NHIỆM KỲ 2016 - 2021</t>
  </si>
  <si>
    <t xml:space="preserve">(Kèm theo Quyết định số          /QĐ-UBND ngày     /3/2016
</t>
  </si>
  <si>
    <t>của UBND huyện Hướng Hoá)</t>
  </si>
  <si>
    <t>Xã</t>
  </si>
  <si>
    <t>ĐVBC số</t>
  </si>
  <si>
    <t>Địa bàn HC</t>
  </si>
  <si>
    <t>Xã Hướng Lập</t>
  </si>
  <si>
    <t>Thôn A Xóc</t>
  </si>
  <si>
    <t>Thôn Cha Lỳ, , Sê Pu, Cựp</t>
  </si>
  <si>
    <t>Thôn Cù Bai, Tà Păng</t>
  </si>
  <si>
    <t>Thôn Tri, Cuôi</t>
  </si>
  <si>
    <t>Xã Hướng Việt</t>
  </si>
  <si>
    <t>Thôn Tà Rùng</t>
  </si>
  <si>
    <t>Thôn Ka Tiêng</t>
  </si>
  <si>
    <t>Thôn Chai, Xa Đưng</t>
  </si>
  <si>
    <t>Thôn Trăng, Tà Puồng</t>
  </si>
  <si>
    <t>Thôn Hướng Choa</t>
  </si>
  <si>
    <t>Thôn Phùng Lâm, Nông trường Tân Lâm</t>
  </si>
  <si>
    <t>Thôn Cợp</t>
  </si>
  <si>
    <t>Thôn Cò Nhối</t>
  </si>
  <si>
    <t>Thôn Xa Ry, Hướng Phú, Đồn Biên phòng sen bụt, Trường THPT Hướng Phùng, Hạt Quản lý đường bộ Hướng Phùng, Trạm y tế xã</t>
  </si>
  <si>
    <t>Thôn Chênh vênh, Trạm Kiểm soát A Ròong</t>
  </si>
  <si>
    <t>Thôn Doa Cũ, Bụt Việt, Trường PTDT BT THCS, Tiểu học, Mầm non Hướng Phùng</t>
  </si>
  <si>
    <t>Thôn Hướng Đại, Hướng Độ, Cheng, Trạm Kiểm soát Cheng</t>
  </si>
  <si>
    <t>Thôn Tân Pun, Ma Lai, Hướng Hải</t>
  </si>
  <si>
    <t>Xã Hướng Sơn</t>
  </si>
  <si>
    <t>Thôn Ra Ly</t>
  </si>
  <si>
    <t>Thôn Nguồn Rào</t>
  </si>
  <si>
    <t>Thôn Pin</t>
  </si>
  <si>
    <t>Thôn Hồ</t>
  </si>
  <si>
    <t>Thôn Mới</t>
  </si>
  <si>
    <t>Thôn Trỉa</t>
  </si>
  <si>
    <t>Thôn Cát</t>
  </si>
  <si>
    <t>Xã Hướng Linh</t>
  </si>
  <si>
    <t>Thôn Xa Bai</t>
  </si>
  <si>
    <t>Thôn Hoong</t>
  </si>
  <si>
    <t>Thôn Cooc</t>
  </si>
  <si>
    <t xml:space="preserve">Thôn Miệt </t>
  </si>
  <si>
    <t>Thôn Pa Kông</t>
  </si>
  <si>
    <t>Thôn Miệt cũ</t>
  </si>
  <si>
    <t>Xã Hướng Tân</t>
  </si>
  <si>
    <t>Thôn Tân Linh</t>
  </si>
  <si>
    <t>Thôn Của</t>
  </si>
  <si>
    <t>Thôn Trằm</t>
  </si>
  <si>
    <t>Thôn Tân Vĩnh</t>
  </si>
  <si>
    <t>Thôn Ruộng</t>
  </si>
  <si>
    <t>Thôn Xa Re</t>
  </si>
  <si>
    <t>Thôn Xa Rường</t>
  </si>
  <si>
    <t>Xã Tân Hợp</t>
  </si>
  <si>
    <t>Thôn Lương Lễ, Thôn Tà Đủ</t>
  </si>
  <si>
    <t>Thôn Lương Lễ</t>
  </si>
  <si>
    <t xml:space="preserve">Thôn Tân Xuyên </t>
  </si>
  <si>
    <t>Thôn Quyết Tâm</t>
  </si>
  <si>
    <t>Thôn Quyết Tâm, Hoà Thành</t>
  </si>
  <si>
    <t>Xã Tân Liên</t>
  </si>
  <si>
    <t>Thôn Tân Hà, Thôn C7,Thôn Đại Thuỷ</t>
  </si>
  <si>
    <t>Thôn Duy Hoà, Vân Hoà</t>
  </si>
  <si>
    <t>Thôn Tân Hiệp, Hoà Hiệp</t>
  </si>
  <si>
    <t>Thôn Tân Hữu, Cheng</t>
  </si>
  <si>
    <t>Thôn Tân Tiến</t>
  </si>
  <si>
    <t>Thôn Tân Hoà</t>
  </si>
  <si>
    <t>Thôn Tân Hào</t>
  </si>
  <si>
    <t>Xã Tân Lập</t>
  </si>
  <si>
    <t>Thôn Tân Sơn</t>
  </si>
  <si>
    <t>Bản Bù, bản Cồn</t>
  </si>
  <si>
    <t>Thôn Tân Tài</t>
  </si>
  <si>
    <t>Thôn Tân Trung</t>
  </si>
  <si>
    <t>Thôn Tân Thuận 1</t>
  </si>
  <si>
    <t xml:space="preserve">Thôn Tân Thuận 2, Bản Vây 1, Vây 2, </t>
  </si>
  <si>
    <t>Thị trấn Khe Sanh</t>
  </si>
  <si>
    <t>Khối 1</t>
  </si>
  <si>
    <t>Khối 2</t>
  </si>
  <si>
    <t>Khối 3A</t>
  </si>
  <si>
    <t>Khối 3B</t>
  </si>
  <si>
    <t>Khối 4</t>
  </si>
  <si>
    <t>Khối 5</t>
  </si>
  <si>
    <t>Khối 6</t>
  </si>
  <si>
    <t>Khối 7</t>
  </si>
  <si>
    <t>Xã Húc</t>
  </si>
  <si>
    <t>Thôn Húc Ván</t>
  </si>
  <si>
    <t>Thôn Tà Ri 1</t>
  </si>
  <si>
    <t>Thôn Tà Ri 2, Thôn Ho Le</t>
  </si>
  <si>
    <t>Thôn Húc Thượng</t>
  </si>
  <si>
    <t>Thôn Ta Núc</t>
  </si>
  <si>
    <t>Thôn Cu Dòng, Ta Cu</t>
  </si>
  <si>
    <t>Thị trấn Lao Bảo</t>
  </si>
  <si>
    <t>Khóm Duy Tân, Khóm Cao Việt, BQL Khu di tích Nhà đày Lao Bảo, Công ty TNHH Một thành viên Camel</t>
  </si>
  <si>
    <t>Khóm Tân Kim, Bản Ka Túp</t>
  </si>
  <si>
    <t xml:space="preserve">Khóm An Hà, Trường THPT Lao Bảo, Trường THCS Lao Bảo, Trường tiểu học số 1, Trường MN Hoa Hồng, Trường MN Hoa Mai, Cơ sở Mầm non tư thục Tuổi Thơ, Phòng Khám Đa Khoa Lao Bảo </t>
  </si>
  <si>
    <t>Khóm Xuân Phước, Trường Mầm Non Lao Bảo, Trạm y tế Lao Bảo</t>
  </si>
  <si>
    <t>Khóm Đông Chính, Khóm Vĩnh Hoa, Trường tiểu học số 2, Trường MN Vành Khuyên, Xí nghiệp Cấp nước Lao Bảo, Trạm viễn thông Lao Bảo</t>
  </si>
  <si>
    <t>Khóm Trung Chính, Công An thị trấn Lao Bảo</t>
  </si>
  <si>
    <t>Khóm Tây Chính, BQL TTTM Lao Bảo, Bến xe Lao Bảo, Ngân hàng: Agribank, Sacombank, Viettinbank, Khách sạn Sê Pôn, KS Bảo Ngọc, Khách sạn Xuyên Á, Công ty TNHH Superhose, Trạm điện 110 KV Lao Bảo, Chi nhánh điện Lao Bảo, Trạm xuất nhập cảnh Lao Bảo, Bưu chính Lao Bảo, Đơn vị T51, Văn phòng đại diện BQL khu kinh tế tỉnh tại Lao Bảo</t>
  </si>
  <si>
    <t>Khóm Ka Tăng, Khóm Khe Đá, Đồn Biên Phòng cửa Khẩu Quốc Tế Lao Bảo, Chi cục Hải quan cửa Khẩu Quốc Tế Lao Bảo, Kiểm dịch Y tế, Kiểm dịch Động vật, Kiểm dịch Thực vật, Đội phòng chống tội phạm và ma túy Biên phòng Quảng Trị</t>
  </si>
  <si>
    <t>Xã Tân Long</t>
  </si>
  <si>
    <t>Thôn Long Yên, Thôn Long Thuận</t>
  </si>
  <si>
    <t>Thôn Long An</t>
  </si>
  <si>
    <t>Thôn Long Quy</t>
  </si>
  <si>
    <t>Thôn Long Hợp</t>
  </si>
  <si>
    <t>Thôn Long Giang, Xi Núc</t>
  </si>
  <si>
    <t>Thôn Long Phụng, Làng Vây</t>
  </si>
  <si>
    <t>Thôn Long Thành</t>
  </si>
  <si>
    <t>Xã Tân Thành</t>
  </si>
  <si>
    <t>Thôn Bích La Đông</t>
  </si>
  <si>
    <t>Thôn Nại Cữu</t>
  </si>
  <si>
    <t>Thôn Cổ Thành</t>
  </si>
  <si>
    <t>Thôn An Tiêm</t>
  </si>
  <si>
    <t>Thôn Nam Xuân Đức</t>
  </si>
  <si>
    <t>Thôn Bích La Trung</t>
  </si>
  <si>
    <t>Thôn Hà Thành, Bản Lệt Cốc</t>
  </si>
  <si>
    <t>Xã Thuận</t>
  </si>
  <si>
    <t>Thôn Bản 1 Mới, Bản 1 Củ (Piếc Húc)</t>
  </si>
  <si>
    <t>Thôn Bản 2 (Piếc Lăng), Kinh tế Mới 1, Nhà Máy tinh bột sắn Hướng Hóa</t>
  </si>
  <si>
    <t xml:space="preserve"> Bản 3 (Rơ Cong), Bản 4 (Cồn 1)</t>
  </si>
  <si>
    <t>Bản 5 (Pả Xây), Kinh tế Mới 2, Đồn BP Thuận</t>
  </si>
  <si>
    <t>Bản Giai (Roơly)</t>
  </si>
  <si>
    <t>Thôn Bản 6 (Thôn Thuận), Bản 7 (Tà Còi)</t>
  </si>
  <si>
    <t>Thôn ÚP Ly 2 (A úp), Thôn Thuận Hòa</t>
  </si>
  <si>
    <t>Xã Thanh</t>
  </si>
  <si>
    <t>Bản 8, Bản 9</t>
  </si>
  <si>
    <t>Bản 10</t>
  </si>
  <si>
    <t>Thôn A Ho</t>
  </si>
  <si>
    <t>Thôn Thanh 1</t>
  </si>
  <si>
    <t>Bản Thanh 4, Thôn Pa Lọ Ô</t>
  </si>
  <si>
    <t>Thôn Pa Lọ Vạc</t>
  </si>
  <si>
    <t>Thôn Na Tua Cô, Thôn Xung</t>
  </si>
  <si>
    <t>Xã A Xing</t>
  </si>
  <si>
    <t>Thôn A Tông</t>
  </si>
  <si>
    <t>Thôn Cu Rong</t>
  </si>
  <si>
    <t>Thôn A Máy</t>
  </si>
  <si>
    <t>Thôn A MôR</t>
  </si>
  <si>
    <t>Thôn A Kỳ Rỹ</t>
  </si>
  <si>
    <t>Thôn Tăng Quan</t>
  </si>
  <si>
    <t>Thôn A Cha</t>
  </si>
  <si>
    <t>Xã A Túc</t>
  </si>
  <si>
    <t>Thôn A Xói , Đồn Biên phòng Tam Thanh</t>
  </si>
  <si>
    <t>Thôn Tăng Cô, Ra Hàng, Phòng Khám Lìa</t>
  </si>
  <si>
    <t>Thôn Pa Lu, Lìa, Trạm y tế</t>
  </si>
  <si>
    <t>Thôn Húc, Trường THPT</t>
  </si>
  <si>
    <t>Thôn A Xau, Trường THCS A Túc</t>
  </si>
  <si>
    <t>Thôn Kỳ Nơi, Trường Mầm non, Trạm thu mua sắn</t>
  </si>
  <si>
    <t>Thôn Ba Linh, Tiểu học A Túc</t>
  </si>
  <si>
    <t>Xã A Dơi</t>
  </si>
  <si>
    <t>Thôn Tân Hải, Hợp Thành</t>
  </si>
  <si>
    <t>Thôn Trung Phước, Phong Hải,Trường Mầm non, Trạm Biên phòng Pa roi</t>
  </si>
  <si>
    <t>Thôn Roi, Prăng Xy, Trạm y tế</t>
  </si>
  <si>
    <t>Thôn Xà Doan (Cũ + Mới và Nhóm hộ Triệu Trung)</t>
  </si>
  <si>
    <t>Thôn Prin C</t>
  </si>
  <si>
    <t>Thôn A Dơi Cô + Trường PTCS A Dơi</t>
  </si>
  <si>
    <t>Thôn A Dơi Đớ</t>
  </si>
  <si>
    <t>Xã Xy</t>
  </si>
  <si>
    <t>Thôn Xi La</t>
  </si>
  <si>
    <t>Thôn Troan Thượng</t>
  </si>
  <si>
    <t>Thôn Xi Cơ Reo</t>
  </si>
  <si>
    <t>Thôn Troan Ô</t>
  </si>
  <si>
    <t>Thôn Ta Nua</t>
  </si>
  <si>
    <t>Thôn Ra Man 1</t>
  </si>
  <si>
    <t>Thôn Ra Man 2</t>
  </si>
  <si>
    <t>Xã Ba Tầng</t>
  </si>
  <si>
    <t>Thôn Ba Tầng dưới, Ba Lòng dưới</t>
  </si>
  <si>
    <t>Thôn Ba Tầng trên, Ba Lòng trên</t>
  </si>
  <si>
    <t>Thôn Loa</t>
  </si>
  <si>
    <t>Thôn Rrùm, Xa Tuông</t>
  </si>
  <si>
    <t>Thôn Xa Rô, Hùn</t>
  </si>
  <si>
    <t>Thôn Vầng</t>
  </si>
  <si>
    <t>Thôn Măng Sông</t>
  </si>
  <si>
    <t>Xã Hướng Lộc</t>
  </si>
  <si>
    <t>Thôn Pả Xía, Tà Rụi</t>
  </si>
  <si>
    <t>Thôn Cu Ty</t>
  </si>
  <si>
    <t>Thôn Ra Ty</t>
  </si>
  <si>
    <t>Thôn Cheng, Cu Dừn</t>
  </si>
  <si>
    <t>Thôn Ta Roa, Pa Ka</t>
  </si>
  <si>
    <t>Tổng cộng</t>
  </si>
  <si>
    <t>Số đơn vị bầu cử: 151</t>
  </si>
  <si>
    <t>(Danh sách gồm có 151 đơn vị bầu cử, 554 đại biểu được bầu)</t>
  </si>
  <si>
    <t>STT</t>
  </si>
  <si>
    <t>ĐIỂM BẦU CỬ</t>
  </si>
  <si>
    <t>Họ tên</t>
  </si>
  <si>
    <t>Chức vụ</t>
  </si>
  <si>
    <t>TT</t>
  </si>
  <si>
    <t>CỬ TRI THAM GIA KIỂM TRA</t>
  </si>
  <si>
    <t>Nơi ở</t>
  </si>
  <si>
    <t>Trần Văn Hoàng</t>
  </si>
  <si>
    <t>ĐV bầu cử số</t>
  </si>
  <si>
    <t>Ngày, tháng, năm sinh</t>
  </si>
  <si>
    <t>Giới tính</t>
  </si>
  <si>
    <t>Quê quán</t>
  </si>
  <si>
    <t>Dân tộc</t>
  </si>
  <si>
    <t>Tôn giáo</t>
  </si>
  <si>
    <t>Nơi ở hiện nay</t>
  </si>
  <si>
    <t>Nghề nghiệp, chức vụ</t>
  </si>
  <si>
    <t>Nơi  làm việc</t>
  </si>
  <si>
    <t>Ngày vào Đảng</t>
  </si>
  <si>
    <t>Giáo dục phổ thông</t>
  </si>
  <si>
    <t>Chuyên môn, nghiệp vụ,</t>
  </si>
  <si>
    <t>Học hàm, học vị</t>
  </si>
  <si>
    <t>Lý luận chính trị</t>
  </si>
  <si>
    <t>Ngoại ngữ</t>
  </si>
  <si>
    <t>Đại biểu tái cử</t>
  </si>
  <si>
    <t>Ghi chú</t>
  </si>
  <si>
    <t>phiếu</t>
  </si>
  <si>
    <t>Tỷ lệ</t>
  </si>
  <si>
    <t>Đạt</t>
  </si>
  <si>
    <t>Kết quả</t>
  </si>
  <si>
    <t>A</t>
  </si>
  <si>
    <t>Hoang BooKi</t>
  </si>
  <si>
    <t>x</t>
  </si>
  <si>
    <t>Trấn B</t>
  </si>
  <si>
    <t>Hồ C</t>
  </si>
  <si>
    <t>UV A1</t>
  </si>
  <si>
    <t>UV A2</t>
  </si>
  <si>
    <t>UV A3</t>
  </si>
  <si>
    <t>UV A4</t>
  </si>
  <si>
    <t>UV A5</t>
  </si>
  <si>
    <t>UV A6</t>
  </si>
  <si>
    <t>UV A7</t>
  </si>
  <si>
    <t>UV A8</t>
  </si>
  <si>
    <t>UV A9</t>
  </si>
  <si>
    <t>UV A10</t>
  </si>
  <si>
    <t>UV A11</t>
  </si>
  <si>
    <t>UV A12</t>
  </si>
  <si>
    <t>UV A13</t>
  </si>
  <si>
    <t>UV A14</t>
  </si>
  <si>
    <t>UV A15</t>
  </si>
  <si>
    <t>UV A16</t>
  </si>
  <si>
    <t>UV A17</t>
  </si>
  <si>
    <t>UV A18</t>
  </si>
  <si>
    <t>UV A19</t>
  </si>
  <si>
    <t>UV A20</t>
  </si>
  <si>
    <t>UV A21</t>
  </si>
  <si>
    <t>UV A22</t>
  </si>
  <si>
    <t>UV A23</t>
  </si>
  <si>
    <t>UV A24</t>
  </si>
  <si>
    <t>UV A25</t>
  </si>
  <si>
    <t>UV A26</t>
  </si>
  <si>
    <t>UV A27</t>
  </si>
  <si>
    <t>UV A28</t>
  </si>
  <si>
    <t>UV A29</t>
  </si>
  <si>
    <t>UV A30</t>
  </si>
  <si>
    <t>UV A31</t>
  </si>
  <si>
    <t>UV A32</t>
  </si>
  <si>
    <t>UV A33</t>
  </si>
  <si>
    <t>UV A34</t>
  </si>
  <si>
    <t>UV A35</t>
  </si>
  <si>
    <t>UV A36</t>
  </si>
  <si>
    <t>UV A37</t>
  </si>
  <si>
    <t>UV A38</t>
  </si>
  <si>
    <t>UV A39</t>
  </si>
  <si>
    <t>UV A40</t>
  </si>
  <si>
    <t>UV A41</t>
  </si>
  <si>
    <t>UV A42</t>
  </si>
  <si>
    <t>Tổng phiếu hợp lệ</t>
  </si>
  <si>
    <t>Huyện Hướng Hóa</t>
  </si>
  <si>
    <t>Chuyên môn, nghiệp vụ</t>
  </si>
  <si>
    <t>Đại biểu tài cử (nếu có)</t>
  </si>
  <si>
    <t>Trình độ hiện nay</t>
  </si>
  <si>
    <t>Ngày vào Đảng (nếu có)</t>
  </si>
  <si>
    <t>Nơi làm việc</t>
  </si>
  <si>
    <t>Đơn vị bầu cử</t>
  </si>
  <si>
    <t>Họ và tên</t>
  </si>
  <si>
    <t>Số TT</t>
  </si>
  <si>
    <t>NHIỆM KỲ 2016-2021</t>
  </si>
  <si>
    <t>ĐẠI BIỂU HỘI ĐỒNG NHÂN DÂN ............................................... KHÓA .......</t>
  </si>
  <si>
    <t>DANH SÁCH NHỮNG NGƯỜI TRÚNG CỬ</t>
  </si>
  <si>
    <t>Độc lập - Tự do - Hạnh phúc</t>
  </si>
  <si>
    <t>CỘNG HÒA XÃ HỘI CHỦ NGHĨA VIỆT NAM</t>
  </si>
  <si>
    <t>Ghi rõ họ và tên</t>
  </si>
  <si>
    <t xml:space="preserve">(Ký, ghi rõ họ và tên) </t>
  </si>
  <si>
    <t xml:space="preserve">(Ký tên, đóng dấu) </t>
  </si>
  <si>
    <t>CÁC PHÓ CHỦ TỊCH</t>
  </si>
  <si>
    <t>TM. ỦY BAN BẦU CỬ
CHỦ TỊCH</t>
  </si>
  <si>
    <t xml:space="preserve">        Biên bản tổng kết cuộc bầu cử đại biểu Hội đồng nhân dân ............................................ Khóa ........ nhiệm kỳ 2016-2021 được lập thành 06 bản và được gửi đến ................................................
...........................................................................................................................................  ./.</t>
  </si>
  <si>
    <t>…………………………………………………………………………………………………………………..</t>
  </si>
  <si>
    <t>7. Những khiếu nại, tố cáo do Uỷ ban bầu cử đã giải quyết:</t>
  </si>
  <si>
    <t>6. Những việc quan trọng đã xảy ra và kết quả giải quyết:</t>
  </si>
  <si>
    <t>gồm:</t>
  </si>
  <si>
    <t>Đơn vị bầu cử số ......</t>
  </si>
  <si>
    <t>Tỷ lệ % so với tổng số phiếu
 hợp lệ</t>
  </si>
  <si>
    <t>Số phiếu</t>
  </si>
  <si>
    <r>
      <t>Họ và tên</t>
    </r>
  </si>
  <si>
    <t xml:space="preserve">Đơn vị bầu cử </t>
  </si>
  <si>
    <t>..................................................................................................................................................................</t>
  </si>
  <si>
    <r>
      <t xml:space="preserve">      5. </t>
    </r>
    <r>
      <rPr>
        <sz val="13"/>
        <rFont val="Times New Roman"/>
        <family val="1"/>
      </rPr>
      <t xml:space="preserve"> Các đơn vị bầu cử có số người trúng cử ít hơn số đại biểu Hội đồng nhân dân được bầu do Ủy ban bầu cử ấn định, phải tổ chức bầu cử thêm gồm:</t>
    </r>
  </si>
  <si>
    <t>Đơn vị bầu cử số 9</t>
  </si>
  <si>
    <t>Đơn vị bầu cử số 8</t>
  </si>
  <si>
    <t>Đơn vị bầu cử số 7</t>
  </si>
  <si>
    <t>Đơn vị bầu cử số 6</t>
  </si>
  <si>
    <t>Đơn vị bầu cử số 5</t>
  </si>
  <si>
    <t>Đơn vị bầu cử số 4</t>
  </si>
  <si>
    <t>Đơn vị bầu cử số 3</t>
  </si>
  <si>
    <t>Đơn vị bầu cử số 2</t>
  </si>
  <si>
    <t>Đơn vị bầu cử số 1</t>
  </si>
  <si>
    <t xml:space="preserve">      4. Danh sách những người trúng cử đại biểu Hội đồng nhân dân ..................................... khóa ........... nhiệm kỳ 2016-2021 theo từng đơn vị bầu cử như sau:</t>
  </si>
  <si>
    <t xml:space="preserve">      3. Số phiếu bầu cho mỗi người ứng cử đại biểu Hội đồng nhân dân:</t>
  </si>
  <si>
    <r>
      <rPr>
        <b/>
        <sz val="11"/>
        <rFont val="Times New Roman"/>
        <family val="1"/>
      </rPr>
      <t>Đơn vị bầu cử số</t>
    </r>
    <r>
      <rPr>
        <sz val="11"/>
        <rFont val="Times New Roman"/>
        <family val="1"/>
      </rPr>
      <t xml:space="preserve"> …..
Gồm: </t>
    </r>
  </si>
  <si>
    <t>Tỷ lệ % so với tổng số phiếu bầu thu vào</t>
  </si>
  <si>
    <t>Phiếu không
 hợp lệ</t>
  </si>
  <si>
    <t>Phiếu hợp lệ</t>
  </si>
  <si>
    <t>Tỷ lệ cử tri đã tham gia bầu cử so với tổng số cử tri</t>
  </si>
  <si>
    <t>Tổng số cử tri của đơn vị  bầu cử</t>
  </si>
  <si>
    <t>Các đơn vị bầu cử</t>
  </si>
  <si>
    <t xml:space="preserve">       2. Các đơn vị bầu cử có số cử tri đi bỏ phiếu chưa đạt quá một nửa tổng số cử tri của đơn vị bầu cử hoặc có vi phạm pháp luật nghiêm trọng, phải tiến hành bầu cử lại gồm: </t>
  </si>
  <si>
    <t>Cộng:</t>
  </si>
  <si>
    <t>1. Số lượng đơn vị bầu cử, tổng số cử tri, số cử tri tham gia bầu cử tại địa phương như sau:</t>
  </si>
  <si>
    <t xml:space="preserve">    Sau khi kiểm tra Biên bản xác định kết quả cuộc bầu cử của các Ban bầu cử và giải quyết khiếu nại, tố cáo (nếu có), Ủy ban bầu cử xác nhận kết quả bầu cử đại biểu Hội đồng nhân dân .......................... ......... khóa ............ nhiệm kỳ 2016-2021 như sau: </t>
  </si>
  <si>
    <t xml:space="preserve">      Theo quy định của Luật tổ chức chính quyền địa phương, thì Hội đồng nhân dân ...................... ..................... được bầu ............ đại biểu Hội đồng nhân dân. Theo Nghị quyết số ......./NQ-UBBC ngày ...... tháng ...... năm 2016 của Ủy ban bầu cử ........................................., có tổng cộng .............. người ứng cử đại biểu Hội đồng nhân dân ..................................................... khóa ........ nhiệm kỳ 2016-2021.</t>
  </si>
  <si>
    <t xml:space="preserve">     Đã họp tại ............................................... để lập biên bản tổng kết cuộc bầu cử đại biểu Hội đồng nhân dân .................................. khóa .......... nhiệm kỳ 2016-2021.</t>
  </si>
  <si>
    <t>……………..</t>
  </si>
  <si>
    <t>…………………………..………...</t>
  </si>
  <si>
    <t xml:space="preserve">      Vào hồi …….. giờ ……phút, ngày …… tháng 5 năm 2016, Ủy ban bầu cử Hội đồng nhân dân .................................................. gồm có:</t>
  </si>
  <si>
    <t>KHÓA ............., NHIỆM KỲ 2016-2021</t>
  </si>
  <si>
    <t>ĐẠI BIỂU HỘI ĐỒNG NHÂN DÂN .....................................</t>
  </si>
  <si>
    <t>BIÊN BẢN TỔNG KẾT CUỘC BẦU CỬ</t>
  </si>
  <si>
    <t>ỦY BAN BẦU CỬ</t>
  </si>
  <si>
    <t>Mẫu số 27/BCĐBHĐND</t>
  </si>
  <si>
    <t>&gt;0</t>
  </si>
  <si>
    <t>Chủ tịch</t>
  </si>
  <si>
    <t>P Chủ tịch</t>
  </si>
  <si>
    <t>Tỷ lệ cử tri đã tham gia bầu cử so với tổng số cử tri (%)</t>
  </si>
  <si>
    <r>
      <t xml:space="preserve">       Kết quả cử tri tham gia bỏ phiếu </t>
    </r>
    <r>
      <rPr>
        <sz val="13"/>
        <color indexed="10"/>
        <rFont val="Times New Roman"/>
        <family val="1"/>
      </rPr>
      <t>bầu cử lại</t>
    </r>
    <r>
      <rPr>
        <sz val="13"/>
        <rFont val="Times New Roman"/>
        <family val="1"/>
      </rPr>
      <t xml:space="preserve"> như sau:</t>
    </r>
  </si>
  <si>
    <t>Hồ Thị Trương</t>
  </si>
  <si>
    <r>
      <t xml:space="preserve">       Kết quả </t>
    </r>
    <r>
      <rPr>
        <sz val="13"/>
        <color indexed="60"/>
        <rFont val="Times New Roman"/>
        <family val="1"/>
      </rPr>
      <t>bầu cử thêm</t>
    </r>
    <r>
      <rPr>
        <sz val="13"/>
        <rFont val="Times New Roman"/>
        <family val="1"/>
      </rPr>
      <t xml:space="preserve"> như sau:</t>
    </r>
  </si>
  <si>
    <t>Mẫu số 25/BCĐBHĐND</t>
  </si>
  <si>
    <t>Tỉnh:  Quảng Trị</t>
  </si>
  <si>
    <t xml:space="preserve">Huyện:   …… </t>
  </si>
  <si>
    <t>BIÊN BẢN KẾT QUẢ KIỂM PHIẾU</t>
  </si>
  <si>
    <t>BẦU CỬ ĐẠI BIỂU HỘI ĐỒNG NHÂN DÂN(1) ………... ……………  KHÓA…………NHIỆM KỲ 2016-2021</t>
  </si>
  <si>
    <t xml:space="preserve">CỦA TỔ BẦU CỬ </t>
  </si>
  <si>
    <t>Khu vực bỏ phiếu số: ......................... xã/phường/thị trấn:</t>
  </si>
  <si>
    <r>
      <t xml:space="preserve">Đơn vị bầu cử đại biểu Hội đồng nhân dân </t>
    </r>
    <r>
      <rPr>
        <vertAlign val="superscript"/>
        <sz val="13"/>
        <color indexed="8"/>
        <rFont val="Times New Roman"/>
        <family val="1"/>
      </rPr>
      <t>(1)</t>
    </r>
    <r>
      <rPr>
        <sz val="13"/>
        <color indexed="8"/>
        <rFont val="Times New Roman"/>
        <family val="1"/>
      </rPr>
      <t xml:space="preserve"> ………………….……. số: .................</t>
    </r>
  </si>
  <si>
    <r>
      <t xml:space="preserve">Gồm </t>
    </r>
    <r>
      <rPr>
        <vertAlign val="superscript"/>
        <sz val="13"/>
        <color indexed="8"/>
        <rFont val="Times New Roman"/>
        <family val="1"/>
      </rPr>
      <t>(2)</t>
    </r>
  </si>
  <si>
    <t>Ngày ……  tháng…….năm 2016, Tổ bầu cử gồm có:</t>
  </si>
  <si>
    <t>1. Ông/Bà...................................... Nơi ở hiện nay:……………………................</t>
  </si>
  <si>
    <t>2. Ông/Bà ..................................... Nơi ở hiện nay:.................................................</t>
  </si>
  <si>
    <t>Sau đó, Tổ bầu cử đã khóa và niêm phong hòm phiếu, mời cử tri bắt đầu bỏ phiếu.</t>
  </si>
  <si>
    <t>1. Ông/Bà ........................... Nơi ở hiện nay: .............................................................</t>
  </si>
  <si>
    <t>2. Ông/Bà ........................... Nơi ở hiện nay: .............................................................</t>
  </si>
  <si>
    <t>Kết quả cuộc bầu cử như sau:</t>
  </si>
  <si>
    <t xml:space="preserve">- Số phiếu bầu cho mỗi người ứng cử như sau: (6) </t>
  </si>
  <si>
    <t>………………………………………………………………………………………….</t>
  </si>
  <si>
    <t>.........................................................................................................................................</t>
  </si>
  <si>
    <t>…………….....................................................................................................................</t>
  </si>
  <si>
    <t>CỬ TRI THỨ NHẤT</t>
  </si>
  <si>
    <t>THƯ KÝ</t>
  </si>
  <si>
    <t>TM. TỔ BẦU CỬ</t>
  </si>
  <si>
    <t>CHỨNG KIẾN VIỆC KIỂM PHIẾU</t>
  </si>
  <si>
    <t>TỔ BẦU CỬ</t>
  </si>
  <si>
    <t>TỔ TRƯỞNG</t>
  </si>
  <si>
    <t>(Ký, ghi rõ họ và tên)</t>
  </si>
  <si>
    <t>(Ký tên và đóng dấu)</t>
  </si>
  <si>
    <t>CỬ TRI THỨ HAI</t>
  </si>
  <si>
    <t xml:space="preserve">CHỨNG KIẾN VIỆC KIỂM PHIẾU </t>
  </si>
  <si>
    <t>được</t>
  </si>
  <si>
    <t xml:space="preserve">          Đúng ........ giờ ....... phút(3), ngày …. tháng…. năm 2016, trước khi thực hiện việc bỏ phiếu, đại diện Tổ bầu cử đã kiểm tra hòm phiếu với sự chứng kiến của hai cử tri là:</t>
  </si>
  <si>
    <t xml:space="preserve">          Đúng .......  giờ ...... phút(4), ngày ...... tháng ...... năm 2016, Tổ trưởng Tổ bầu cử tuyên bố kết thúc cuộc bầu cử và tiến hành kiểm phiếu ngay tại phòng bỏ phiếu.</t>
  </si>
  <si>
    <t xml:space="preserve">          Trước khi mở hòm phiếu, Tổ trưởng Tổ bầu cử đã mời hai cử tri không phải là người ứng cử chứng kiến việc kiểm phiếu gồm:</t>
  </si>
  <si>
    <t xml:space="preserve">          Trong ngày bầu cử và thời gian kiểm phiếu, đã xảy ra sự việc hoặc khiếu nại, tố cáo sau đây: (7).....................................................................................................</t>
  </si>
  <si>
    <t xml:space="preserve">          Những vấn đề hoặc khiếu nại, tố cáo mà Tổ bầu cử chưa giải quyết được và kiến nghị:(8)</t>
  </si>
  <si>
    <t xml:space="preserve">          Biên bản này được hoàn thành vào hồi …. giờ…. phút(9), ngày….. tháng…. năm 2016 và  lập thành 03 bản gửi đến Ban bầu cử đại biểu Hội đồng nhân dân (1) …………………………., Ủy ban nhân dân, Ban thường trực Ủy ban Mặt trận Tổ quốc Việt Nam cấp xã.(10)</t>
  </si>
  <si>
    <t xml:space="preserve">          Trước khi mở hòm phiếu, Tổ bầu cử đã tiến hành kiểm kê và lập biên bản về việc sử dụng phiếu bầu cử đại biểu Hội đồng nhân dân.</t>
  </si>
  <si>
    <t xml:space="preserve">          Đã họp tại phòng bỏ phiếu của khu vực bỏ phiếu số.................. xã/phường/thị trấn: ……………..................... thuộc đơn vị bầu cử đại biểu Hội đồng nhân dân số ……............  để tiến hành việc kiểm phiếu bầu cử đại biểu Hội đồng nhân dân (1) ……………….…… khóa ……..nhiệm kỳ 2016-2021.</t>
  </si>
  <si>
    <t>Mẫu số 28/BCĐBHĐND</t>
  </si>
  <si>
    <r>
      <t xml:space="preserve">Đơn vị bầu cử số </t>
    </r>
    <r>
      <rPr>
        <i/>
        <vertAlign val="superscript"/>
        <sz val="12"/>
        <rFont val="Times New Roman"/>
        <family val="1"/>
      </rPr>
      <t>(1)</t>
    </r>
    <r>
      <rPr>
        <i/>
        <sz val="12"/>
        <rFont val="Times New Roman"/>
        <family val="1"/>
      </rPr>
      <t xml:space="preserve"> 2</t>
    </r>
  </si>
  <si>
    <t>TRƯỞNG BAN BẦU CỬ</t>
  </si>
  <si>
    <t>Ký tên và đóng dấu</t>
  </si>
  <si>
    <t>Mẫu số 20/BCĐBQH</t>
  </si>
  <si>
    <t xml:space="preserve">Huyện:  </t>
  </si>
  <si>
    <t>Xã: ....................................</t>
  </si>
  <si>
    <t>BIÊN BẢN KẾT QUẢ KIỂM PHIẾU BẦU CỬ ĐẠI BIỂU QUỐC HỘI KHÓA XIV</t>
  </si>
  <si>
    <t>Đơn vị bầu cử đại biểu Quốc hội số: .................</t>
  </si>
  <si>
    <r>
      <t>Gồm</t>
    </r>
    <r>
      <rPr>
        <vertAlign val="superscript"/>
        <sz val="13"/>
        <color indexed="8"/>
        <rFont val="Times New Roman"/>
        <family val="1"/>
      </rPr>
      <t>(1)</t>
    </r>
  </si>
  <si>
    <t>Ngày 22  tháng 5 năm 2016, Tổ bầu cử gồm có:</t>
  </si>
  <si>
    <t xml:space="preserve">     Đã họp tại phòng bỏ phiếu của khu vực bỏ phiếu số:.................. xã/phường/thị trấn: ……………..................... thuộc đơn vị bầu cử đại biểu Quốc hội số: ……............  để tiến hành việc kiểm phiếu bầu cử đại biểu Quốc hội khoá XIV.</t>
  </si>
  <si>
    <r>
      <t xml:space="preserve">      Đúng ........ giờ ....... phút</t>
    </r>
    <r>
      <rPr>
        <vertAlign val="superscript"/>
        <sz val="13"/>
        <color indexed="8"/>
        <rFont val="Times New Roman"/>
        <family val="1"/>
      </rPr>
      <t>(2)</t>
    </r>
    <r>
      <rPr>
        <sz val="13"/>
        <color indexed="8"/>
        <rFont val="Times New Roman"/>
        <family val="1"/>
      </rPr>
      <t>, ngày …. tháng…. năm 2016,</t>
    </r>
    <r>
      <rPr>
        <vertAlign val="superscript"/>
        <sz val="13"/>
        <color indexed="8"/>
        <rFont val="Times New Roman"/>
        <family val="1"/>
      </rPr>
      <t xml:space="preserve"> </t>
    </r>
    <r>
      <rPr>
        <sz val="13"/>
        <color indexed="8"/>
        <rFont val="Times New Roman"/>
        <family val="1"/>
      </rPr>
      <t>trước khi thực hiện việc bỏ phiếu, đại diện Tổ bầu cử đã kiểm tra hòm phiếu với sự chứng kiến của hai cử tri là:</t>
    </r>
  </si>
  <si>
    <r>
      <t xml:space="preserve">      Đúng .......  giờ ...... phút</t>
    </r>
    <r>
      <rPr>
        <vertAlign val="superscript"/>
        <sz val="13"/>
        <color indexed="8"/>
        <rFont val="Times New Roman"/>
        <family val="1"/>
      </rPr>
      <t>(3)</t>
    </r>
    <r>
      <rPr>
        <sz val="13"/>
        <color indexed="8"/>
        <rFont val="Times New Roman"/>
        <family val="1"/>
      </rPr>
      <t>, ngày ...... tháng ...... năm 2016,</t>
    </r>
    <r>
      <rPr>
        <vertAlign val="superscript"/>
        <sz val="13"/>
        <color indexed="8"/>
        <rFont val="Times New Roman"/>
        <family val="1"/>
      </rPr>
      <t xml:space="preserve"> </t>
    </r>
    <r>
      <rPr>
        <sz val="13"/>
        <color indexed="8"/>
        <rFont val="Times New Roman"/>
        <family val="1"/>
      </rPr>
      <t>Tổ trưởng Tổ bầu cử tuyên bố kết thúc cuộc bầu cử và tiến hành kiểm phiếu ngay tại phòng bỏ phiếu.</t>
    </r>
  </si>
  <si>
    <t xml:space="preserve">      Trước khi mở hòm phiếu, Tổ trưởng Tổ bầu cử đã mời hai cử tri không phải là người ứng cử chứng kiến việc kiểm phiếu gồm:</t>
  </si>
  <si>
    <t xml:space="preserve">      Trước khi mở hòm phiếu, Tổ bầu cử đã tiến hành kiểm kê và lập biên bản về việc sử dụng phiếu bầu cử đại biểu Quốc hội. </t>
  </si>
  <si>
    <r>
      <t>- Số phiếu bầu cho mỗi người ứng cử như sau</t>
    </r>
    <r>
      <rPr>
        <vertAlign val="superscript"/>
        <sz val="13"/>
        <color indexed="12"/>
        <rFont val="Times New Roman"/>
        <family val="1"/>
      </rPr>
      <t>(5)</t>
    </r>
    <r>
      <rPr>
        <sz val="13"/>
        <color indexed="12"/>
        <rFont val="Times New Roman"/>
        <family val="1"/>
      </rPr>
      <t xml:space="preserve">: </t>
    </r>
  </si>
  <si>
    <r>
      <t>Trong ngày bầu cử và thời gian kiểm phiếu, đã xảy ra sự việc hoặc khiếu nại, tố cáo sau đây:</t>
    </r>
    <r>
      <rPr>
        <vertAlign val="superscript"/>
        <sz val="13"/>
        <color indexed="8"/>
        <rFont val="Times New Roman"/>
        <family val="1"/>
      </rPr>
      <t xml:space="preserve"> (6)</t>
    </r>
  </si>
  <si>
    <t>……………………………………………………………………………………….</t>
  </si>
  <si>
    <r>
      <t xml:space="preserve">Những vấn đề hoặc khiếu nại, tố cáo mà Tổ bầu cử chưa giải quyết được và kiến nghị: </t>
    </r>
    <r>
      <rPr>
        <vertAlign val="superscript"/>
        <sz val="13"/>
        <color indexed="8"/>
        <rFont val="Times New Roman"/>
        <family val="1"/>
      </rPr>
      <t>(7)</t>
    </r>
  </si>
  <si>
    <t>.............................................................................................................................</t>
  </si>
  <si>
    <r>
      <t xml:space="preserve">      Biên bản này được hoàn thành vào hồi …. giờ…. phút</t>
    </r>
    <r>
      <rPr>
        <vertAlign val="superscript"/>
        <sz val="13"/>
        <color indexed="8"/>
        <rFont val="Times New Roman"/>
        <family val="1"/>
      </rPr>
      <t>(8)</t>
    </r>
    <r>
      <rPr>
        <sz val="13"/>
        <color indexed="8"/>
        <rFont val="Times New Roman"/>
        <family val="1"/>
      </rPr>
      <t>, ngày….. tháng…. năm 2016 và được lập thành 03 bản gửi đến Ban bầu cử đại biểu Quốc hội, Ủy ban nhân dân và Ban thường trực Ủy ban Mặt trận Tổ quốc Việt Nam cấp xã.</t>
    </r>
    <r>
      <rPr>
        <vertAlign val="superscript"/>
        <sz val="13"/>
        <color indexed="8"/>
        <rFont val="Times New Roman"/>
        <family val="1"/>
      </rPr>
      <t>(9)</t>
    </r>
  </si>
  <si>
    <t>Tự ứng cử</t>
  </si>
  <si>
    <t>B</t>
  </si>
  <si>
    <t>4a</t>
  </si>
  <si>
    <r>
      <t xml:space="preserve">Tuổi </t>
    </r>
    <r>
      <rPr>
        <i/>
        <sz val="12"/>
        <color indexed="10"/>
        <rFont val="Times New Roman"/>
        <family val="1"/>
      </rPr>
      <t>(không nhập vào cột này)</t>
    </r>
  </si>
  <si>
    <t>Loại hình cơ quan</t>
  </si>
  <si>
    <t>11a</t>
  </si>
  <si>
    <t>Phân loại  chuyên môn</t>
  </si>
  <si>
    <t>14a</t>
  </si>
  <si>
    <t>Mẫu số 29A/ BCĐBQH</t>
  </si>
  <si>
    <t>HUYỆN HƯỚNG HÓA</t>
  </si>
  <si>
    <t>BIỂU THỐNG KÊ SƠ BỘ KẾT QUẢ CUỘC BẦU CỬ ĐẠI BIỂU QUỐC HỘI KHÓA XIV,
ĐẠI BIỂU HỘI ĐỒNG NHÂN DÂN CÁC CẤP NHIỆM KỲ 2016-2021</t>
  </si>
  <si>
    <t>I. KẾT QUẢ CUỘC BẦU CỬ ĐẠI BIỂU QUỐC HỘI, ĐẠI BIỂU HỘI ĐỒNG NHÂN DÂN:</t>
  </si>
  <si>
    <t xml:space="preserve">Cấp bầu cử </t>
  </si>
  <si>
    <t>Cử tri</t>
  </si>
  <si>
    <t>Khu vực bỏ phiếu</t>
  </si>
  <si>
    <t>Phiếu bầu cử</t>
  </si>
  <si>
    <t>Tổng số cử tri (trong danh sách)</t>
  </si>
  <si>
    <t>Số cử tri đi bỏ phiếu</t>
  </si>
  <si>
    <t>Tỷ lệ cử tri đi bỏ phiếu (%)</t>
  </si>
  <si>
    <t>Có 1 Khu vực BP</t>
  </si>
  <si>
    <t>&lt; 50% Cử tri đi
bỏ phiếu</t>
  </si>
  <si>
    <t>Bị hủy kết quả 
bầu cử</t>
  </si>
  <si>
    <t>Số ĐV bầu lại</t>
  </si>
  <si>
    <t>Số ĐV bầu thêm</t>
  </si>
  <si>
    <t>Tổng số</t>
  </si>
  <si>
    <t>Số KV bầu lại</t>
  </si>
  <si>
    <t>Số KV bầu thêm</t>
  </si>
  <si>
    <t>Tỷ lệ phiếu 
phát ra/thu vào (%)</t>
  </si>
  <si>
    <t>Số phiếu hợp lệ</t>
  </si>
  <si>
    <t>Tỷ lệ phiếu 
hợp lệ/thu vào (%)</t>
  </si>
  <si>
    <t>I.</t>
  </si>
  <si>
    <t>ĐẠI BIỂU QUỐC HỘI</t>
  </si>
  <si>
    <t>II</t>
  </si>
  <si>
    <t>ĐẠI BIỂU HĐND</t>
  </si>
  <si>
    <t>Cấp tỉnh</t>
  </si>
  <si>
    <t>Cấp huyện</t>
  </si>
  <si>
    <t>Cấp xã</t>
  </si>
  <si>
    <t>II. CƠ CẤU, THÀNH PHẦN NGƯỜI TRÚNG CỬ ĐẠI BIỂU QUỐC HỘI</t>
  </si>
  <si>
    <t>Số ĐB được ấn định</t>
  </si>
  <si>
    <t>Số người trúng cử</t>
  </si>
  <si>
    <t>Nữ</t>
  </si>
  <si>
    <t>Dân tộc thiểu số</t>
  </si>
  <si>
    <t>Trẻ tuổi</t>
  </si>
  <si>
    <t>Ngoài Đảng</t>
  </si>
  <si>
    <t>Tái cử</t>
  </si>
  <si>
    <t>Trình độ chuyên môn</t>
  </si>
  <si>
    <t>Trình độ lý luận chính trị</t>
  </si>
  <si>
    <t>Cơ quan Đảng</t>
  </si>
  <si>
    <t>Chính quyền</t>
  </si>
  <si>
    <t>UBMT và TC thành viên của MTTQ</t>
  </si>
  <si>
    <t>Tòa án nhân dân</t>
  </si>
  <si>
    <t>Viện kiểm sát nhân dân</t>
  </si>
  <si>
    <t>Quân đội, công an</t>
  </si>
  <si>
    <t>Cơ quan, đơn vị khác</t>
  </si>
  <si>
    <t>Dưới đại học</t>
  </si>
  <si>
    <t>Đại học</t>
  </si>
  <si>
    <t>Sau đại học</t>
  </si>
  <si>
    <t>Trung cấp</t>
  </si>
  <si>
    <t>Cao cấp</t>
  </si>
  <si>
    <t>III. CƠ CẤU NGƯỜI TRÚNG CỬ ĐẠI BIỂU HỘI ĐỒNG NHÂN DÂN</t>
  </si>
  <si>
    <t>Cấp 
bầu cử</t>
  </si>
  <si>
    <t>Số ĐB trúng cử</t>
  </si>
  <si>
    <r>
      <t>Tái cử</t>
    </r>
    <r>
      <rPr>
        <i/>
        <sz val="11"/>
        <color indexed="8"/>
        <rFont val="Times New Roman"/>
        <family val="1"/>
      </rPr>
      <t xml:space="preserve"> 
(tỷ lệ so với người trúng cử)</t>
    </r>
  </si>
  <si>
    <t>Trình độ chuyên môn 
(tỷ lệ %)</t>
  </si>
  <si>
    <t>Trình độ lý luận chính trị (tỷ lệ %)</t>
  </si>
  <si>
    <t>Số
(Ng)</t>
  </si>
  <si>
    <t>Tỷ lệ
(%)</t>
  </si>
  <si>
    <t>IV. THÀNH PHẦN NGƯỜI TRÚNG CỬ ĐẠI BIỂU HỘI ĐỒNG NHÂN DÂN</t>
  </si>
  <si>
    <t>TM. ỦY BAN BẦU CỬ</t>
  </si>
  <si>
    <t>CHỦ TỊCH</t>
  </si>
  <si>
    <t>- Số người ứng cử:  5 người</t>
  </si>
  <si>
    <t>- Số đại biểu Quốc hội được ấn định cho đơn vị bầu cử là:  3 người</t>
  </si>
  <si>
    <t>Ch quyền</t>
  </si>
  <si>
    <t>ỦY BAN/BAN BẦU CỬ</t>
  </si>
  <si>
    <t>Mẫu số 26/ BCĐBHĐND</t>
  </si>
  <si>
    <t>BAN BẦU CỬ ĐẠI BIỂU</t>
  </si>
  <si>
    <t>HỘI ĐỒNG NHÂN DÂN</t>
  </si>
  <si>
    <t>....................................</t>
  </si>
  <si>
    <t>ĐƠN VỊ BẦU CỬ SỐ .........</t>
  </si>
  <si>
    <t>BIÊN BẢN XÁC ĐỊNH KẾT QUẢ BẦU CỬ</t>
  </si>
  <si>
    <t>Ở ĐƠN VỊ BẦU CỬ SỐ ...................</t>
  </si>
  <si>
    <r>
      <t>Gồm:</t>
    </r>
    <r>
      <rPr>
        <sz val="14"/>
        <rFont val="Times New Roman"/>
        <family val="1"/>
      </rPr>
      <t xml:space="preserve"> ..........................................................................................................</t>
    </r>
  </si>
  <si>
    <t xml:space="preserve">      Vào hồi …….. giờ ……phút, ngày ….. tháng 5 năm 2016, Ban bầu cử đại biểu Hội đồng nhân dân ...................................................... gồm có:</t>
  </si>
  <si>
    <t xml:space="preserve">          Đã họp tại ................................................. để lập biên bản xác định kết quả bầu cử đại biểu Hội đồng nhân dân ............................... khóa ......... nhiệm kỳ 2016-2021 tại các khu vực bỏ phiếu của đơn vị bầu cử đại biểu Hội đồng nhân dân số ............ gồm: .........................................
..........................................................................................................</t>
  </si>
  <si>
    <t xml:space="preserve">         Theo Quyết định số: ........./QĐ-UBBC, ngày ...... tháng ....... năm 2016 của Ủy ban bầu cử ................................................... thì đơn vị bầu cử số ....... được bầu ....... đại biểu Hội đồng nhân dân ..............................................................</t>
  </si>
  <si>
    <t xml:space="preserve">         Theo Quyết định số: ........./QĐ-UBBC, ngày ...... tháng ....... năm 2016 của Ủy ban bầu cử ................................................... thì đơn vị bầu cử số .......... có ........... người ứng cử đại biểu Hội đồng nhân dân.</t>
  </si>
  <si>
    <t xml:space="preserve">         Sau khi kiểm tra và tổng hợp kết quả từ Biên bản kết quả kiểm phiếu bầu cử do các Tổ bầu cử chuyển đến, kết quả bầu cử đại biểu Hội đồng nhân dân ................................. ở đơn vị bầu cử số ....... như sau: </t>
  </si>
  <si>
    <t xml:space="preserve">- Số phiếu bầu cho mỗi người ứng cử như sau: </t>
  </si>
  <si>
    <r>
      <t xml:space="preserve">         Căn cứ vào kết quả ghi trên đây, Ban bầu cử đại biểu Hội đồng nhân dân </t>
    </r>
    <r>
      <rPr>
        <sz val="13"/>
        <rFont val="Times New Roman"/>
        <family val="1"/>
      </rPr>
      <t>Huyện Hướng Hóa kết luận:</t>
    </r>
  </si>
  <si>
    <t>so với tổng số cử tri của đơn vị bầu cử:...</t>
  </si>
  <si>
    <t>……………………………………………………………………………………………</t>
  </si>
  <si>
    <t xml:space="preserve">              b) Các ông/bà có tên sau đây nhận được quá nửa số phiếu hợp lệ và có nhiều phiếu hơn, đã trúng cử đại biểu Hội đồng nhân dân ................................ khóa ..........., nhiệm kỳ 2016-2021:</t>
  </si>
  <si>
    <t xml:space="preserve">         c) Theo ấn định của Ủy ban bầu cử ...................................., thì số đại biểu Hội đồng nhân dân .................................. được bầu ở đơn vị bầu cử số: ............ là ............. đại biểu, nay đã bầu được .......... đại biểu, còn thiếu ........... đại biểu.</t>
  </si>
  <si>
    <t xml:space="preserve">         Tóm tắt những việc xảy ra:………………………………………..……..………………......</t>
  </si>
  <si>
    <t>..............................................................................................................................................................</t>
  </si>
  <si>
    <t xml:space="preserve">         Những khiếu nại, tố cáo trong quá trình bầu cử do các Tổ bầu cử đã giải quyết:</t>
  </si>
  <si>
    <r>
      <t>Những khiếu nại, tố cáo trong quá trình bầu cử do Ban bầu cử đã giải quyết, cách giải quyết:</t>
    </r>
  </si>
  <si>
    <t xml:space="preserve">Những khiếu nại, tố cáo chuyển đến Uỷ ban bầu cử: </t>
  </si>
  <si>
    <t xml:space="preserve">        Biên bản xác định, kết quả bầu cử đại biểu Hội đồng nhân dân .......................................... ở đơn vị bầu cử số ........... được lập thành 04 bản và được gửi đến Ủy ban bầu cử, Thường trực Hội đồng nhân dân, Ủy ban nhân dân, Ban thường trực Ủy ban Mặt trận Tổ quốc Việt Nam ............................................................</t>
  </si>
  <si>
    <t>Các tài liệu kèm theo:</t>
  </si>
  <si>
    <t>TM. BAN BẦU CỬ
TRƯỞNG BAN</t>
  </si>
  <si>
    <t>CÁC PHÓ TRƯỞNG BAN</t>
  </si>
  <si>
    <t>xã Hướng Phùng</t>
  </si>
  <si>
    <t xml:space="preserve">Số đại biểu được bầu của HĐND:   27 đại biểu </t>
  </si>
  <si>
    <t>Lập tại: xã Hướng Phùng, ngày 22 tháng 5 năm 2016</t>
  </si>
  <si>
    <t>Tổng số người trúng cử trong danh sách này là:  5 người</t>
  </si>
  <si>
    <t>1. Ông:</t>
  </si>
  <si>
    <t xml:space="preserve">2. Bà: </t>
  </si>
  <si>
    <t>. Ông:</t>
  </si>
  <si>
    <t>- Chủ tịch</t>
  </si>
  <si>
    <t>- P Chủ tịch</t>
  </si>
  <si>
    <t xml:space="preserve">-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</si>
</sst>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Đơn vị bầu cử số &quot;#"/>
    <numFmt numFmtId="173" formatCode="&quot;Tổ bầu cử số &quot;#"/>
    <numFmt numFmtId="174" formatCode="&quot;Tổ bầu cử số &quot;#\ "/>
    <numFmt numFmtId="175" formatCode="0.0"/>
    <numFmt numFmtId="176" formatCode="[$-42A]dd\ mmmm\ yyyy"/>
    <numFmt numFmtId="177" formatCode="[$-42A]h:mm:ss\ AM/PM"/>
    <numFmt numFmtId="178" formatCode="#&quot;.&quot;"/>
    <numFmt numFmtId="179" formatCode="0.0000"/>
    <numFmt numFmtId="180" formatCode="0.000"/>
    <numFmt numFmtId="181" formatCode="00"/>
  </numFmts>
  <fonts count="105">
    <font>
      <sz val="12"/>
      <name val="Times New Roman"/>
      <family val="0"/>
    </font>
    <font>
      <sz val="11"/>
      <color indexed="8"/>
      <name val="Calibri"/>
      <family val="2"/>
    </font>
    <font>
      <b/>
      <sz val="14"/>
      <name val="Times New Roman"/>
      <family val="1"/>
    </font>
    <font>
      <b/>
      <sz val="18"/>
      <name val="Times New Roman"/>
      <family val="1"/>
    </font>
    <font>
      <i/>
      <sz val="12"/>
      <name val="Times New Roman"/>
      <family val="1"/>
    </font>
    <font>
      <b/>
      <i/>
      <sz val="16"/>
      <name val="Times New Roman"/>
      <family val="1"/>
    </font>
    <font>
      <sz val="10"/>
      <name val="Times New Roman"/>
      <family val="1"/>
    </font>
    <font>
      <b/>
      <sz val="10"/>
      <name val="Times New Roman"/>
      <family val="1"/>
    </font>
    <font>
      <i/>
      <sz val="7"/>
      <name val="Times New Roman"/>
      <family val="1"/>
    </font>
    <font>
      <b/>
      <sz val="9"/>
      <name val="Times New Roman"/>
      <family val="1"/>
    </font>
    <font>
      <i/>
      <sz val="10"/>
      <name val="Times New Roman"/>
      <family val="1"/>
    </font>
    <font>
      <sz val="8"/>
      <name val="Times New Roman"/>
      <family val="1"/>
    </font>
    <font>
      <b/>
      <sz val="12"/>
      <name val="Times New Roman"/>
      <family val="1"/>
    </font>
    <font>
      <b/>
      <sz val="11"/>
      <name val="Times New Roman"/>
      <family val="1"/>
    </font>
    <font>
      <sz val="12"/>
      <color indexed="10"/>
      <name val="Times New Roman"/>
      <family val="1"/>
    </font>
    <font>
      <b/>
      <sz val="14"/>
      <color indexed="10"/>
      <name val="Times New Roman"/>
      <family val="1"/>
    </font>
    <font>
      <sz val="14"/>
      <name val="Times New Roman"/>
      <family val="1"/>
    </font>
    <font>
      <sz val="14"/>
      <color indexed="10"/>
      <name val="Times New Roman"/>
      <family val="1"/>
    </font>
    <font>
      <b/>
      <sz val="16"/>
      <name val="Times New Roman"/>
      <family val="1"/>
    </font>
    <font>
      <sz val="20"/>
      <name val="Times New Roman"/>
      <family val="1"/>
    </font>
    <font>
      <b/>
      <sz val="8"/>
      <name val="Times New Roman"/>
      <family val="1"/>
    </font>
    <font>
      <i/>
      <sz val="11"/>
      <name val="Times New Roman"/>
      <family val="1"/>
    </font>
    <font>
      <sz val="11"/>
      <name val="Times New Roman"/>
      <family val="1"/>
    </font>
    <font>
      <sz val="13"/>
      <name val="Times New Roman"/>
      <family val="1"/>
    </font>
    <font>
      <b/>
      <sz val="13"/>
      <name val="Times New Roman"/>
      <family val="1"/>
    </font>
    <font>
      <vertAlign val="superscript"/>
      <sz val="12"/>
      <name val="Times New Roman"/>
      <family val="1"/>
    </font>
    <font>
      <b/>
      <i/>
      <sz val="10"/>
      <name val="Times New Roman"/>
      <family val="1"/>
    </font>
    <font>
      <b/>
      <i/>
      <sz val="11"/>
      <name val="Times New Roman"/>
      <family val="1"/>
    </font>
    <font>
      <vertAlign val="superscript"/>
      <sz val="12"/>
      <name val="Symbol"/>
      <family val="1"/>
    </font>
    <font>
      <sz val="13"/>
      <color indexed="10"/>
      <name val="Times New Roman"/>
      <family val="1"/>
    </font>
    <font>
      <sz val="13"/>
      <color indexed="60"/>
      <name val="Times New Roman"/>
      <family val="1"/>
    </font>
    <font>
      <vertAlign val="superscript"/>
      <sz val="13"/>
      <color indexed="8"/>
      <name val="Times New Roman"/>
      <family val="1"/>
    </font>
    <font>
      <sz val="13"/>
      <color indexed="8"/>
      <name val="Times New Roman"/>
      <family val="1"/>
    </font>
    <font>
      <i/>
      <vertAlign val="superscript"/>
      <sz val="12"/>
      <name val="Times New Roman"/>
      <family val="1"/>
    </font>
    <font>
      <vertAlign val="superscript"/>
      <sz val="13"/>
      <color indexed="12"/>
      <name val="Times New Roman"/>
      <family val="1"/>
    </font>
    <font>
      <sz val="13"/>
      <color indexed="12"/>
      <name val="Times New Roman"/>
      <family val="1"/>
    </font>
    <font>
      <i/>
      <sz val="12"/>
      <color indexed="10"/>
      <name val="Times New Roman"/>
      <family val="1"/>
    </font>
    <font>
      <vertAlign val="superscript"/>
      <sz val="11"/>
      <name val="Times New Roman"/>
      <family val="1"/>
    </font>
    <font>
      <i/>
      <sz val="11"/>
      <color indexed="8"/>
      <name val="Times New Roman"/>
      <family val="1"/>
    </font>
    <font>
      <sz val="12"/>
      <color indexed="37"/>
      <name val="Tahoma"/>
      <family val="2"/>
    </font>
    <font>
      <sz val="11"/>
      <color indexed="12"/>
      <name val="Tahoma"/>
      <family val="2"/>
    </font>
    <font>
      <sz val="12"/>
      <color indexed="25"/>
      <name val="Tahoma"/>
      <family val="2"/>
    </font>
    <font>
      <sz val="12"/>
      <color indexed="12"/>
      <name val="Tahoma"/>
      <family val="2"/>
    </font>
    <font>
      <vertAlign val="superscript"/>
      <sz val="13"/>
      <name val="Times New Roman"/>
      <family val="1"/>
    </font>
    <font>
      <sz val="12"/>
      <color indexed="12"/>
      <name val="Times New Roman"/>
      <family val="1"/>
    </font>
    <font>
      <sz val="12"/>
      <color indexed="60"/>
      <name val="Times New Roman"/>
      <family val="1"/>
    </font>
    <font>
      <b/>
      <sz val="12"/>
      <color indexed="10"/>
      <name val="Times New Roman"/>
      <family val="1"/>
    </font>
    <font>
      <b/>
      <sz val="12"/>
      <color indexed="12"/>
      <name val="Times New Roman"/>
      <family val="1"/>
    </font>
    <font>
      <b/>
      <sz val="12"/>
      <color indexed="60"/>
      <name val="Times New Roman"/>
      <family val="1"/>
    </font>
    <font>
      <b/>
      <sz val="8"/>
      <color indexed="10"/>
      <name val="Times New Roman"/>
      <family val="1"/>
    </font>
    <font>
      <sz val="11"/>
      <color indexed="8"/>
      <name val="Times New Roman"/>
      <family val="1"/>
    </font>
    <font>
      <sz val="13"/>
      <color indexed="18"/>
      <name val="Times New Roman"/>
      <family val="1"/>
    </font>
    <font>
      <sz val="11"/>
      <color indexed="18"/>
      <name val="Times New Roman"/>
      <family val="1"/>
    </font>
    <font>
      <i/>
      <sz val="10"/>
      <color indexed="8"/>
      <name val="Times New Roman"/>
      <family val="1"/>
    </font>
    <font>
      <sz val="12"/>
      <color indexed="18"/>
      <name val="Times New Roman"/>
      <family val="1"/>
    </font>
    <font>
      <b/>
      <sz val="12"/>
      <color indexed="18"/>
      <name val="Times New Roman"/>
      <family val="1"/>
    </font>
    <font>
      <i/>
      <sz val="13"/>
      <color indexed="8"/>
      <name val="Times New Roman"/>
      <family val="1"/>
    </font>
    <font>
      <b/>
      <sz val="13"/>
      <color indexed="8"/>
      <name val="Times New Roman"/>
      <family val="1"/>
    </font>
    <font>
      <i/>
      <sz val="8"/>
      <color indexed="8"/>
      <name val="Times New Roman"/>
      <family val="1"/>
    </font>
    <font>
      <b/>
      <sz val="11"/>
      <color indexed="8"/>
      <name val="Times New Roman"/>
      <family val="1"/>
    </font>
    <font>
      <sz val="10"/>
      <color indexed="8"/>
      <name val="Times New Roman"/>
      <family val="1"/>
    </font>
    <font>
      <sz val="12"/>
      <color indexed="50"/>
      <name val="Times New Roman"/>
      <family val="1"/>
    </font>
    <font>
      <sz val="9"/>
      <color indexed="10"/>
      <name val="Times New Roman"/>
      <family val="1"/>
    </font>
    <font>
      <sz val="10"/>
      <color indexed="10"/>
      <name val="Times New Roman"/>
      <family val="1"/>
    </font>
    <font>
      <i/>
      <sz val="9"/>
      <color indexed="8"/>
      <name val="Times New Roman"/>
      <family val="1"/>
    </font>
    <font>
      <b/>
      <sz val="18"/>
      <color indexed="56"/>
      <name val="Times New Roman"/>
      <family val="1"/>
    </font>
    <font>
      <b/>
      <sz val="16"/>
      <color indexed="60"/>
      <name val="Times New Roman"/>
      <family val="1"/>
    </font>
    <font>
      <b/>
      <sz val="14"/>
      <color indexed="8"/>
      <name val="Times New Roman"/>
      <family val="1"/>
    </font>
    <font>
      <sz val="12"/>
      <color indexed="8"/>
      <name val="Times New Roman"/>
      <family val="1"/>
    </font>
    <font>
      <b/>
      <sz val="11"/>
      <color indexed="18"/>
      <name val="Times New Roman"/>
      <family val="1"/>
    </font>
    <font>
      <sz val="11"/>
      <color indexed="6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6"/>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57"/>
        <bgColor indexed="64"/>
      </patternFill>
    </fill>
    <fill>
      <patternFill patternType="solid">
        <fgColor indexed="13"/>
        <bgColor indexed="64"/>
      </patternFill>
    </fill>
    <fill>
      <patternFill patternType="solid">
        <fgColor indexed="5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border>
    <border>
      <left style="thin"/>
      <right style="thin"/>
      <top/>
      <bottom style="thin"/>
    </border>
    <border>
      <left style="double"/>
      <right style="double"/>
      <top style="double"/>
      <bottom style="double"/>
    </border>
    <border>
      <left>
        <color indexed="63"/>
      </left>
      <right>
        <color indexed="63"/>
      </right>
      <top style="thin"/>
      <bottom/>
    </border>
    <border>
      <left style="thin"/>
      <right style="thin"/>
      <top style="thin"/>
      <bottom/>
    </border>
    <border>
      <left/>
      <right style="thin"/>
      <top style="hair"/>
      <bottom style="hair"/>
    </border>
    <border>
      <left style="thin"/>
      <right style="thin"/>
      <top style="hair"/>
      <bottom style="thin"/>
    </border>
    <border>
      <left/>
      <right style="thin"/>
      <top/>
      <bottom style="hair"/>
    </border>
    <border>
      <left/>
      <right style="thin"/>
      <top style="hair"/>
      <bottom style="thin"/>
    </border>
    <border>
      <left style="thin"/>
      <right style="thin"/>
      <top style="thin"/>
      <bottom style="hair"/>
    </border>
    <border>
      <left style="thin"/>
      <right style="thin"/>
      <top style="hair"/>
      <bottom style="hair"/>
    </border>
    <border>
      <left/>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top style="thin"/>
      <bottom style="thin"/>
    </border>
    <border>
      <left/>
      <right style="thin"/>
      <top style="thin"/>
      <bottom style="thin"/>
    </border>
    <border>
      <left style="thin"/>
      <right/>
      <top style="hair"/>
      <bottom style="thin"/>
    </border>
    <border>
      <left/>
      <right/>
      <top style="hair"/>
      <bottom style="thin"/>
    </border>
    <border>
      <left style="thin"/>
      <right/>
      <top style="hair"/>
      <bottom style="hair"/>
    </border>
    <border>
      <left/>
      <right/>
      <top style="hair"/>
      <bottom style="hair"/>
    </border>
    <border>
      <left style="thin"/>
      <right/>
      <top style="thin"/>
      <bottom style="hair"/>
    </border>
    <border>
      <left/>
      <right style="thin"/>
      <top style="thin"/>
      <bottom style="hair"/>
    </border>
    <border>
      <left style="thin"/>
      <right>
        <color indexed="63"/>
      </right>
      <top style="thin"/>
      <bottom/>
    </border>
    <border>
      <left>
        <color indexed="63"/>
      </left>
      <right style="thin"/>
      <top style="thin"/>
      <bottom/>
    </border>
    <border>
      <left/>
      <right/>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2" fillId="28" borderId="2" applyNumberFormat="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0" borderId="0">
      <alignment/>
      <protection/>
    </xf>
    <xf numFmtId="0" fontId="88" fillId="0" borderId="0">
      <alignment/>
      <protection/>
    </xf>
    <xf numFmtId="0" fontId="1"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580">
    <xf numFmtId="0" fontId="0" fillId="0" borderId="0" xfId="0" applyAlignment="1">
      <alignment/>
    </xf>
    <xf numFmtId="0" fontId="0" fillId="0" borderId="0" xfId="0" applyFont="1" applyAlignment="1">
      <alignment/>
    </xf>
    <xf numFmtId="0" fontId="0" fillId="0" borderId="0" xfId="0" applyAlignment="1">
      <alignment horizontal="left"/>
    </xf>
    <xf numFmtId="0" fontId="0" fillId="0" borderId="0" xfId="0" applyAlignment="1">
      <alignment wrapText="1"/>
    </xf>
    <xf numFmtId="0" fontId="0" fillId="0" borderId="0" xfId="0" applyAlignment="1">
      <alignment horizontal="center" vertical="center"/>
    </xf>
    <xf numFmtId="0" fontId="0" fillId="0" borderId="0" xfId="55" applyFont="1">
      <alignment/>
      <protection/>
    </xf>
    <xf numFmtId="0" fontId="0" fillId="0" borderId="0" xfId="55">
      <alignment/>
      <protection/>
    </xf>
    <xf numFmtId="0" fontId="2" fillId="0" borderId="10" xfId="55" applyFont="1" applyFill="1" applyBorder="1" applyAlignment="1">
      <alignment horizontal="center"/>
      <protection/>
    </xf>
    <xf numFmtId="0" fontId="16" fillId="0" borderId="10" xfId="55" applyFont="1" applyFill="1" applyBorder="1" applyAlignment="1">
      <alignment horizontal="center"/>
      <protection/>
    </xf>
    <xf numFmtId="0" fontId="2" fillId="0" borderId="10" xfId="55" applyFont="1" applyFill="1" applyBorder="1" applyAlignment="1">
      <alignment horizontal="center" wrapText="1"/>
      <protection/>
    </xf>
    <xf numFmtId="0" fontId="2" fillId="0" borderId="10" xfId="55" applyNumberFormat="1" applyFont="1" applyFill="1" applyBorder="1" applyAlignment="1">
      <alignment horizontal="center"/>
      <protection/>
    </xf>
    <xf numFmtId="0" fontId="2" fillId="0" borderId="11" xfId="55" applyFont="1" applyFill="1" applyBorder="1" applyAlignment="1">
      <alignment horizontal="center" vertical="center" wrapText="1"/>
      <protection/>
    </xf>
    <xf numFmtId="0" fontId="16" fillId="0" borderId="11" xfId="55" applyFont="1" applyFill="1" applyBorder="1" applyAlignment="1">
      <alignment horizontal="center" vertical="center" wrapText="1"/>
      <protection/>
    </xf>
    <xf numFmtId="0" fontId="15" fillId="0" borderId="11" xfId="55" applyNumberFormat="1" applyFont="1" applyFill="1" applyBorder="1" applyAlignment="1">
      <alignment horizontal="center" vertical="center" wrapText="1"/>
      <protection/>
    </xf>
    <xf numFmtId="0" fontId="0" fillId="0" borderId="0" xfId="55" applyFont="1" applyFill="1" applyAlignment="1">
      <alignment horizontal="center" vertical="center" wrapText="1"/>
      <protection/>
    </xf>
    <xf numFmtId="0" fontId="16" fillId="0" borderId="11" xfId="55" applyFont="1" applyFill="1" applyBorder="1" applyAlignment="1">
      <alignment horizontal="center"/>
      <protection/>
    </xf>
    <xf numFmtId="0" fontId="16" fillId="0" borderId="11" xfId="55" applyFont="1" applyFill="1" applyBorder="1" applyAlignment="1">
      <alignment wrapText="1"/>
      <protection/>
    </xf>
    <xf numFmtId="0" fontId="16" fillId="0" borderId="11" xfId="55" applyNumberFormat="1" applyFont="1" applyFill="1" applyBorder="1" applyAlignment="1">
      <alignment horizontal="center"/>
      <protection/>
    </xf>
    <xf numFmtId="0" fontId="0" fillId="0" borderId="0" xfId="55" applyFont="1" applyFill="1">
      <alignment/>
      <protection/>
    </xf>
    <xf numFmtId="0" fontId="16" fillId="0" borderId="0" xfId="55" applyFont="1" applyFill="1" applyAlignment="1">
      <alignment wrapText="1"/>
      <protection/>
    </xf>
    <xf numFmtId="0" fontId="16" fillId="0" borderId="11" xfId="55" applyFont="1" applyFill="1" applyBorder="1" applyAlignment="1">
      <alignment horizontal="left" vertical="center" wrapText="1"/>
      <protection/>
    </xf>
    <xf numFmtId="0" fontId="16" fillId="0" borderId="11" xfId="55" applyNumberFormat="1" applyFont="1" applyFill="1" applyBorder="1" applyAlignment="1">
      <alignment horizontal="center" vertical="center" wrapText="1"/>
      <protection/>
    </xf>
    <xf numFmtId="0" fontId="15" fillId="0" borderId="11" xfId="55" applyFont="1" applyFill="1" applyBorder="1" applyAlignment="1">
      <alignment horizontal="center" vertical="center" wrapText="1"/>
      <protection/>
    </xf>
    <xf numFmtId="0" fontId="17" fillId="0" borderId="11" xfId="55" applyFont="1" applyFill="1" applyBorder="1" applyAlignment="1">
      <alignment horizontal="center"/>
      <protection/>
    </xf>
    <xf numFmtId="0" fontId="17" fillId="0" borderId="11" xfId="55" applyFont="1" applyFill="1" applyBorder="1" applyAlignment="1">
      <alignment wrapText="1"/>
      <protection/>
    </xf>
    <xf numFmtId="0" fontId="17" fillId="0" borderId="11" xfId="55" applyNumberFormat="1" applyFont="1" applyFill="1" applyBorder="1" applyAlignment="1">
      <alignment horizontal="center"/>
      <protection/>
    </xf>
    <xf numFmtId="0" fontId="14" fillId="0" borderId="0" xfId="55" applyFont="1" applyFill="1">
      <alignment/>
      <protection/>
    </xf>
    <xf numFmtId="0" fontId="16" fillId="0" borderId="12" xfId="55" applyFont="1" applyFill="1" applyBorder="1" applyAlignment="1">
      <alignment wrapText="1"/>
      <protection/>
    </xf>
    <xf numFmtId="0" fontId="16" fillId="0" borderId="11" xfId="55" applyFont="1" applyFill="1" applyBorder="1">
      <alignment/>
      <protection/>
    </xf>
    <xf numFmtId="0" fontId="2" fillId="0" borderId="11" xfId="55" applyFont="1" applyFill="1" applyBorder="1" applyAlignment="1">
      <alignment horizontal="center"/>
      <protection/>
    </xf>
    <xf numFmtId="0" fontId="2" fillId="0" borderId="11" xfId="55" applyFont="1" applyFill="1" applyBorder="1" applyAlignment="1">
      <alignment wrapText="1"/>
      <protection/>
    </xf>
    <xf numFmtId="0" fontId="2" fillId="0" borderId="11" xfId="55" applyNumberFormat="1" applyFont="1" applyFill="1" applyBorder="1" applyAlignment="1">
      <alignment horizontal="center"/>
      <protection/>
    </xf>
    <xf numFmtId="0" fontId="16" fillId="0" borderId="0" xfId="55" applyFont="1" applyFill="1">
      <alignment/>
      <protection/>
    </xf>
    <xf numFmtId="0" fontId="0" fillId="0" borderId="0" xfId="55" applyFont="1" applyFill="1" applyAlignment="1">
      <alignment horizontal="center"/>
      <protection/>
    </xf>
    <xf numFmtId="0" fontId="0" fillId="0" borderId="0" xfId="55" applyFont="1" applyFill="1" applyAlignment="1">
      <alignment wrapText="1"/>
      <protection/>
    </xf>
    <xf numFmtId="0" fontId="0" fillId="0" borderId="0" xfId="55" applyNumberFormat="1" applyFont="1" applyFill="1" applyAlignment="1">
      <alignment horizontal="center"/>
      <protection/>
    </xf>
    <xf numFmtId="0" fontId="0" fillId="0" borderId="0" xfId="55" applyAlignment="1">
      <alignment horizontal="center"/>
      <protection/>
    </xf>
    <xf numFmtId="0" fontId="0" fillId="0" borderId="0" xfId="55" applyAlignment="1">
      <alignment wrapText="1"/>
      <protection/>
    </xf>
    <xf numFmtId="0" fontId="0" fillId="0" borderId="0" xfId="55" applyNumberFormat="1" applyAlignment="1">
      <alignment horizontal="center"/>
      <protection/>
    </xf>
    <xf numFmtId="0" fontId="0" fillId="0" borderId="0" xfId="0" applyAlignment="1">
      <alignment horizontal="center"/>
    </xf>
    <xf numFmtId="0" fontId="0" fillId="0" borderId="0" xfId="0" applyFill="1" applyAlignment="1">
      <alignment/>
    </xf>
    <xf numFmtId="174" fontId="0" fillId="0" borderId="0" xfId="0" applyNumberFormat="1" applyFill="1" applyAlignment="1">
      <alignment horizontal="center"/>
    </xf>
    <xf numFmtId="0" fontId="0" fillId="0" borderId="0" xfId="0" applyFill="1" applyAlignment="1">
      <alignment horizontal="center" vertical="center"/>
    </xf>
    <xf numFmtId="0" fontId="9" fillId="33" borderId="13"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0" fillId="0" borderId="0" xfId="0" applyFill="1" applyAlignment="1">
      <alignment horizontal="center"/>
    </xf>
    <xf numFmtId="0" fontId="11" fillId="33" borderId="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0" borderId="0" xfId="0" applyFont="1" applyAlignment="1">
      <alignment wrapText="1"/>
    </xf>
    <xf numFmtId="0" fontId="19" fillId="0" borderId="0" xfId="0" applyFont="1" applyAlignment="1">
      <alignment/>
    </xf>
    <xf numFmtId="0" fontId="11" fillId="0" borderId="11" xfId="0" applyFont="1" applyBorder="1" applyAlignment="1">
      <alignment wrapText="1"/>
    </xf>
    <xf numFmtId="0" fontId="19" fillId="34" borderId="0" xfId="0" applyFont="1" applyFill="1" applyAlignment="1">
      <alignment/>
    </xf>
    <xf numFmtId="0" fontId="0" fillId="34" borderId="0" xfId="0" applyFill="1" applyAlignment="1">
      <alignment wrapText="1"/>
    </xf>
    <xf numFmtId="0" fontId="11" fillId="34" borderId="0" xfId="0" applyFont="1" applyFill="1" applyAlignment="1">
      <alignment wrapText="1"/>
    </xf>
    <xf numFmtId="0" fontId="0" fillId="34" borderId="0" xfId="0" applyFill="1" applyAlignment="1">
      <alignment/>
    </xf>
    <xf numFmtId="0" fontId="0" fillId="0" borderId="0" xfId="0" applyFill="1" applyAlignment="1">
      <alignment horizontal="left"/>
    </xf>
    <xf numFmtId="0" fontId="0" fillId="34" borderId="0" xfId="0" applyFill="1" applyBorder="1" applyAlignment="1">
      <alignment/>
    </xf>
    <xf numFmtId="0" fontId="0" fillId="0" borderId="0" xfId="0" applyBorder="1" applyAlignment="1">
      <alignment/>
    </xf>
    <xf numFmtId="0" fontId="0" fillId="0" borderId="15" xfId="0" applyBorder="1" applyAlignment="1">
      <alignment/>
    </xf>
    <xf numFmtId="0" fontId="0" fillId="34" borderId="0" xfId="0" applyFill="1" applyAlignment="1">
      <alignment horizontal="left"/>
    </xf>
    <xf numFmtId="0" fontId="0" fillId="34" borderId="0" xfId="0" applyFill="1" applyAlignment="1">
      <alignment horizontal="center" vertical="center"/>
    </xf>
    <xf numFmtId="0" fontId="0" fillId="0" borderId="15" xfId="0" applyBorder="1" applyAlignment="1">
      <alignment horizontal="center"/>
    </xf>
    <xf numFmtId="0" fontId="0" fillId="0" borderId="0" xfId="0" applyBorder="1" applyAlignment="1">
      <alignment horizontal="center"/>
    </xf>
    <xf numFmtId="0" fontId="0" fillId="0" borderId="15" xfId="0" applyFont="1" applyBorder="1" applyAlignment="1">
      <alignment horizontal="left" indent="1"/>
    </xf>
    <xf numFmtId="0" fontId="0" fillId="0" borderId="0" xfId="0" applyBorder="1" applyAlignment="1">
      <alignment horizontal="left" indent="1"/>
    </xf>
    <xf numFmtId="0" fontId="0" fillId="0" borderId="0" xfId="0" applyAlignment="1">
      <alignment horizontal="left" indent="1"/>
    </xf>
    <xf numFmtId="0" fontId="12" fillId="35" borderId="11" xfId="0" applyFont="1" applyFill="1" applyBorder="1" applyAlignment="1">
      <alignment horizontal="center" vertical="center" wrapText="1"/>
    </xf>
    <xf numFmtId="0" fontId="0" fillId="0" borderId="15" xfId="0" applyFont="1" applyBorder="1" applyAlignment="1">
      <alignment horizontal="center"/>
    </xf>
    <xf numFmtId="0" fontId="12" fillId="36" borderId="11" xfId="0" applyFont="1" applyFill="1" applyBorder="1" applyAlignment="1">
      <alignment horizontal="center" vertical="center" wrapText="1"/>
    </xf>
    <xf numFmtId="0" fontId="14" fillId="37" borderId="0" xfId="0" applyFont="1" applyFill="1" applyAlignment="1" applyProtection="1">
      <alignment/>
      <protection hidden="1"/>
    </xf>
    <xf numFmtId="0" fontId="0" fillId="37" borderId="0" xfId="0" applyFont="1" applyFill="1" applyAlignment="1" applyProtection="1">
      <alignment horizontal="center"/>
      <protection locked="0"/>
    </xf>
    <xf numFmtId="0" fontId="0" fillId="37" borderId="0" xfId="0" applyNumberFormat="1" applyFill="1" applyAlignment="1" applyProtection="1">
      <alignment horizontal="center"/>
      <protection locked="0"/>
    </xf>
    <xf numFmtId="0" fontId="0" fillId="37" borderId="0" xfId="0" applyFill="1" applyAlignment="1" applyProtection="1">
      <alignment/>
      <protection locked="0"/>
    </xf>
    <xf numFmtId="0" fontId="0" fillId="37" borderId="0" xfId="0" applyFill="1" applyAlignment="1" applyProtection="1">
      <alignment horizontal="center"/>
      <protection locked="0"/>
    </xf>
    <xf numFmtId="0" fontId="0" fillId="37" borderId="0" xfId="0" applyFill="1" applyBorder="1" applyAlignment="1" applyProtection="1">
      <alignment/>
      <protection locked="0"/>
    </xf>
    <xf numFmtId="0" fontId="0" fillId="37" borderId="0" xfId="0" applyFill="1" applyAlignment="1" applyProtection="1">
      <alignment/>
      <protection hidden="1"/>
    </xf>
    <xf numFmtId="10" fontId="44" fillId="37" borderId="0" xfId="59" applyNumberFormat="1" applyFont="1" applyFill="1" applyAlignment="1" applyProtection="1">
      <alignment horizontal="center"/>
      <protection hidden="1"/>
    </xf>
    <xf numFmtId="0" fontId="14" fillId="37" borderId="0" xfId="0" applyFont="1" applyFill="1" applyAlignment="1" applyProtection="1">
      <alignment horizontal="center"/>
      <protection hidden="1"/>
    </xf>
    <xf numFmtId="0" fontId="45" fillId="37" borderId="0" xfId="0" applyFont="1" applyFill="1" applyAlignment="1" applyProtection="1">
      <alignment horizontal="center"/>
      <protection hidden="1"/>
    </xf>
    <xf numFmtId="0" fontId="46" fillId="0" borderId="16" xfId="0" applyFont="1" applyFill="1" applyBorder="1" applyAlignment="1" applyProtection="1">
      <alignment horizontal="center" vertical="center" wrapText="1"/>
      <protection hidden="1"/>
    </xf>
    <xf numFmtId="0" fontId="12" fillId="0" borderId="16" xfId="0" applyFont="1" applyFill="1" applyBorder="1" applyAlignment="1" applyProtection="1">
      <alignment horizontal="center" vertical="center" wrapText="1"/>
      <protection/>
    </xf>
    <xf numFmtId="0" fontId="13" fillId="0" borderId="16"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47" fillId="0" borderId="16" xfId="0" applyFont="1" applyFill="1" applyBorder="1" applyAlignment="1" applyProtection="1">
      <alignment horizontal="center" vertical="center" wrapText="1"/>
      <protection hidden="1"/>
    </xf>
    <xf numFmtId="0" fontId="48" fillId="0" borderId="16" xfId="0" applyFont="1" applyFill="1" applyBorder="1" applyAlignment="1" applyProtection="1">
      <alignment horizontal="center" vertical="center" wrapText="1"/>
      <protection hidden="1"/>
    </xf>
    <xf numFmtId="0" fontId="0" fillId="37" borderId="0" xfId="0" applyFont="1" applyFill="1" applyAlignment="1" applyProtection="1">
      <alignment horizontal="center" wrapText="1"/>
      <protection locked="0"/>
    </xf>
    <xf numFmtId="0" fontId="49" fillId="0" borderId="16" xfId="0" applyFont="1" applyFill="1" applyBorder="1" applyAlignment="1" applyProtection="1">
      <alignment horizontal="center" vertical="center" wrapText="1"/>
      <protection hidden="1"/>
    </xf>
    <xf numFmtId="0" fontId="20" fillId="0" borderId="16" xfId="0" applyFont="1" applyFill="1" applyBorder="1" applyAlignment="1" applyProtection="1">
      <alignment horizontal="center" vertical="center" wrapText="1"/>
      <protection/>
    </xf>
    <xf numFmtId="0" fontId="11" fillId="0" borderId="0" xfId="0" applyFont="1" applyFill="1" applyAlignment="1">
      <alignment/>
    </xf>
    <xf numFmtId="0" fontId="50" fillId="0" borderId="0" xfId="56" applyFont="1">
      <alignment/>
      <protection/>
    </xf>
    <xf numFmtId="0" fontId="13" fillId="0" borderId="0" xfId="56" applyFont="1" applyAlignment="1" applyProtection="1">
      <alignment horizontal="center"/>
      <protection locked="0"/>
    </xf>
    <xf numFmtId="0" fontId="13" fillId="0" borderId="0" xfId="56" applyFont="1" applyAlignment="1" applyProtection="1">
      <alignment/>
      <protection locked="0"/>
    </xf>
    <xf numFmtId="0" fontId="23" fillId="0" borderId="0" xfId="56" applyFont="1" applyBorder="1" applyAlignment="1" applyProtection="1">
      <alignment horizontal="left" vertical="center"/>
      <protection locked="0"/>
    </xf>
    <xf numFmtId="0" fontId="50" fillId="0" borderId="0" xfId="56" applyFont="1" applyAlignment="1" applyProtection="1">
      <alignment vertical="center"/>
      <protection locked="0"/>
    </xf>
    <xf numFmtId="0" fontId="0" fillId="0" borderId="17" xfId="56" applyFont="1" applyBorder="1" applyAlignment="1" applyProtection="1">
      <alignment horizontal="center" vertical="center" wrapText="1"/>
      <protection hidden="1"/>
    </xf>
    <xf numFmtId="0" fontId="23" fillId="0" borderId="0" xfId="56" applyFont="1" applyAlignment="1" applyProtection="1">
      <alignment horizontal="justify" vertical="center" wrapText="1"/>
      <protection locked="0"/>
    </xf>
    <xf numFmtId="0" fontId="0" fillId="0" borderId="0" xfId="0" applyFont="1" applyBorder="1" applyAlignment="1">
      <alignment horizontal="left" indent="1"/>
    </xf>
    <xf numFmtId="0" fontId="0" fillId="0" borderId="0" xfId="0" applyFont="1" applyBorder="1" applyAlignment="1">
      <alignment horizontal="center"/>
    </xf>
    <xf numFmtId="0" fontId="51" fillId="0" borderId="0" xfId="56" applyFont="1" applyAlignment="1" applyProtection="1">
      <alignment vertical="center"/>
      <protection hidden="1"/>
    </xf>
    <xf numFmtId="0" fontId="52" fillId="0" borderId="0" xfId="56" applyFont="1" applyAlignment="1" applyProtection="1">
      <alignment vertical="center"/>
      <protection hidden="1"/>
    </xf>
    <xf numFmtId="178" fontId="51" fillId="0" borderId="0" xfId="56" applyNumberFormat="1" applyFont="1" applyAlignment="1" applyProtection="1">
      <alignment vertical="center"/>
      <protection hidden="1"/>
    </xf>
    <xf numFmtId="0" fontId="50" fillId="0" borderId="0" xfId="56" applyFont="1" applyAlignment="1" applyProtection="1">
      <alignment horizontal="left" vertical="center"/>
      <protection locked="0"/>
    </xf>
    <xf numFmtId="0" fontId="53" fillId="0" borderId="0" xfId="56" applyFont="1" applyAlignment="1" applyProtection="1">
      <alignment horizontal="right" vertical="center"/>
      <protection locked="0"/>
    </xf>
    <xf numFmtId="0" fontId="12" fillId="0" borderId="0" xfId="56" applyFont="1" applyAlignment="1" applyProtection="1">
      <alignment horizontal="centerContinuous" vertical="center"/>
      <protection locked="0"/>
    </xf>
    <xf numFmtId="0" fontId="50" fillId="0" borderId="0" xfId="56" applyFont="1" applyAlignment="1" applyProtection="1">
      <alignment horizontal="centerContinuous" vertical="center"/>
      <protection locked="0"/>
    </xf>
    <xf numFmtId="0" fontId="50" fillId="0" borderId="0" xfId="56" applyFont="1" applyAlignment="1" applyProtection="1">
      <alignment horizontal="centerContinuous" vertical="center" wrapText="1"/>
      <protection locked="0"/>
    </xf>
    <xf numFmtId="0" fontId="2" fillId="0" borderId="0" xfId="56" applyFont="1" applyAlignment="1" applyProtection="1">
      <alignment horizontal="left" vertical="center"/>
      <protection locked="0"/>
    </xf>
    <xf numFmtId="0" fontId="32" fillId="0" borderId="0" xfId="56" applyFont="1" applyAlignment="1" applyProtection="1">
      <alignment horizontal="right" vertical="center"/>
      <protection locked="0"/>
    </xf>
    <xf numFmtId="0" fontId="32" fillId="0" borderId="0" xfId="56" applyFont="1" applyAlignment="1" applyProtection="1">
      <alignment vertical="center"/>
      <protection locked="0"/>
    </xf>
    <xf numFmtId="0" fontId="23" fillId="0" borderId="0" xfId="56" applyFont="1" applyAlignment="1" applyProtection="1">
      <alignment vertical="center"/>
      <protection locked="0"/>
    </xf>
    <xf numFmtId="0" fontId="23" fillId="0" borderId="0" xfId="56" applyFont="1" applyAlignment="1" applyProtection="1">
      <alignment horizontal="right" vertical="center"/>
      <protection locked="0"/>
    </xf>
    <xf numFmtId="0" fontId="24" fillId="0" borderId="10" xfId="56" applyFont="1" applyBorder="1" applyAlignment="1" applyProtection="1">
      <alignment vertical="center"/>
      <protection locked="0"/>
    </xf>
    <xf numFmtId="0" fontId="24" fillId="0" borderId="0" xfId="56" applyFont="1" applyAlignment="1" applyProtection="1">
      <alignment vertical="center"/>
      <protection locked="0"/>
    </xf>
    <xf numFmtId="0" fontId="7" fillId="0" borderId="11" xfId="56" applyFont="1" applyBorder="1" applyAlignment="1" applyProtection="1">
      <alignment horizontal="center" vertical="center" wrapText="1"/>
      <protection locked="0"/>
    </xf>
    <xf numFmtId="0" fontId="0" fillId="0" borderId="11" xfId="56" applyFont="1" applyBorder="1" applyAlignment="1" applyProtection="1">
      <alignment horizontal="center" vertical="center" wrapText="1"/>
      <protection locked="0"/>
    </xf>
    <xf numFmtId="0" fontId="50" fillId="0" borderId="11" xfId="56" applyFont="1" applyBorder="1" applyAlignment="1" applyProtection="1">
      <alignment horizontal="center" vertical="center"/>
      <protection locked="0"/>
    </xf>
    <xf numFmtId="0" fontId="23" fillId="0" borderId="0" xfId="56" applyFont="1" applyBorder="1" applyAlignment="1" applyProtection="1">
      <alignment horizontal="justify" vertical="center" wrapText="1"/>
      <protection locked="0"/>
    </xf>
    <xf numFmtId="3" fontId="0" fillId="0" borderId="11" xfId="56" applyNumberFormat="1" applyFont="1" applyBorder="1" applyAlignment="1" applyProtection="1">
      <alignment vertical="center" wrapText="1"/>
      <protection locked="0"/>
    </xf>
    <xf numFmtId="4" fontId="0" fillId="0" borderId="11" xfId="56" applyNumberFormat="1" applyFont="1" applyBorder="1" applyAlignment="1" applyProtection="1">
      <alignment vertical="center" wrapText="1"/>
      <protection locked="0"/>
    </xf>
    <xf numFmtId="0" fontId="50" fillId="0" borderId="11" xfId="56" applyFont="1" applyBorder="1" applyAlignment="1" applyProtection="1">
      <alignment vertical="center"/>
      <protection locked="0"/>
    </xf>
    <xf numFmtId="0" fontId="24" fillId="0" borderId="0" xfId="56" applyFont="1" applyBorder="1" applyAlignment="1" applyProtection="1">
      <alignment vertical="center"/>
      <protection locked="0"/>
    </xf>
    <xf numFmtId="0" fontId="50" fillId="0" borderId="0" xfId="56" applyFont="1" applyBorder="1" applyAlignment="1" applyProtection="1">
      <alignment vertical="center"/>
      <protection locked="0"/>
    </xf>
    <xf numFmtId="0" fontId="0" fillId="0" borderId="17" xfId="56" applyFont="1" applyBorder="1" applyAlignment="1" applyProtection="1">
      <alignment horizontal="center" vertical="center" wrapText="1"/>
      <protection locked="0"/>
    </xf>
    <xf numFmtId="0" fontId="0" fillId="0" borderId="17" xfId="56" applyFont="1" applyBorder="1" applyAlignment="1" applyProtection="1">
      <alignment horizontal="centerContinuous" vertical="center" wrapText="1"/>
      <protection locked="0"/>
    </xf>
    <xf numFmtId="0" fontId="0" fillId="0" borderId="18" xfId="56" applyFont="1" applyBorder="1" applyAlignment="1" applyProtection="1">
      <alignment horizontal="centerContinuous" vertical="center" wrapText="1"/>
      <protection locked="0"/>
    </xf>
    <xf numFmtId="0" fontId="0" fillId="0" borderId="19" xfId="56" applyFont="1" applyBorder="1" applyAlignment="1" applyProtection="1">
      <alignment horizontal="center" vertical="center" wrapText="1"/>
      <protection locked="0"/>
    </xf>
    <xf numFmtId="0" fontId="0" fillId="0" borderId="20" xfId="56" applyFont="1" applyBorder="1" applyAlignment="1" applyProtection="1">
      <alignment horizontal="centerContinuous" vertical="center" wrapText="1"/>
      <protection locked="0"/>
    </xf>
    <xf numFmtId="0" fontId="24" fillId="0" borderId="0" xfId="56" applyFont="1" applyAlignment="1" applyProtection="1">
      <alignment horizontal="justify" vertical="center"/>
      <protection locked="0"/>
    </xf>
    <xf numFmtId="3" fontId="50" fillId="0" borderId="0" xfId="56" applyNumberFormat="1" applyFont="1" applyAlignment="1" applyProtection="1">
      <alignment vertical="center"/>
      <protection locked="0"/>
    </xf>
    <xf numFmtId="0" fontId="23" fillId="0" borderId="0" xfId="56" applyNumberFormat="1" applyFont="1" applyAlignment="1" applyProtection="1">
      <alignment horizontal="justify" vertical="center" wrapText="1"/>
      <protection locked="0"/>
    </xf>
    <xf numFmtId="0" fontId="6" fillId="0" borderId="0" xfId="56" applyFont="1" applyAlignment="1" applyProtection="1">
      <alignment horizontal="left" vertical="center"/>
      <protection locked="0"/>
    </xf>
    <xf numFmtId="0" fontId="21" fillId="0" borderId="0" xfId="56" applyFont="1" applyAlignment="1" applyProtection="1">
      <alignment vertical="center"/>
      <protection locked="0"/>
    </xf>
    <xf numFmtId="0" fontId="24" fillId="0" borderId="0" xfId="56" applyFont="1" applyAlignment="1" applyProtection="1">
      <alignment vertical="center" wrapText="1"/>
      <protection locked="0"/>
    </xf>
    <xf numFmtId="0" fontId="24" fillId="0" borderId="0" xfId="56" applyFont="1" applyAlignment="1" applyProtection="1">
      <alignment horizontal="center" vertical="center" wrapText="1"/>
      <protection locked="0"/>
    </xf>
    <xf numFmtId="0" fontId="27" fillId="0" borderId="0" xfId="56" applyFont="1" applyAlignment="1" applyProtection="1">
      <alignment horizontal="center" vertical="center" wrapText="1"/>
      <protection locked="0"/>
    </xf>
    <xf numFmtId="0" fontId="21" fillId="0" borderId="0" xfId="56" applyFont="1" applyAlignment="1" applyProtection="1">
      <alignment vertical="center" wrapText="1"/>
      <protection locked="0"/>
    </xf>
    <xf numFmtId="0" fontId="23" fillId="0" borderId="0" xfId="56" applyFont="1" applyAlignment="1" applyProtection="1">
      <alignment horizontal="center" vertical="center" wrapText="1"/>
      <protection locked="0"/>
    </xf>
    <xf numFmtId="0" fontId="23" fillId="0" borderId="0" xfId="56" applyFont="1" applyAlignment="1" applyProtection="1">
      <alignment horizontal="left" vertical="center" wrapText="1"/>
      <protection locked="0"/>
    </xf>
    <xf numFmtId="0" fontId="50" fillId="0" borderId="0" xfId="56" applyFont="1" applyAlignment="1" applyProtection="1">
      <alignment vertical="center" wrapText="1"/>
      <protection locked="0"/>
    </xf>
    <xf numFmtId="178" fontId="54" fillId="0" borderId="11" xfId="56" applyNumberFormat="1" applyFont="1" applyBorder="1" applyAlignment="1" applyProtection="1">
      <alignment horizontal="center" vertical="center" wrapText="1"/>
      <protection hidden="1"/>
    </xf>
    <xf numFmtId="3" fontId="54" fillId="0" borderId="11" xfId="56" applyNumberFormat="1" applyFont="1" applyBorder="1" applyAlignment="1" applyProtection="1">
      <alignment horizontal="center" vertical="center" wrapText="1"/>
      <protection hidden="1"/>
    </xf>
    <xf numFmtId="2" fontId="54" fillId="0" borderId="11" xfId="59" applyNumberFormat="1" applyFont="1" applyBorder="1" applyAlignment="1" applyProtection="1">
      <alignment horizontal="center" vertical="center" wrapText="1"/>
      <protection hidden="1"/>
    </xf>
    <xf numFmtId="4" fontId="54" fillId="0" borderId="11" xfId="56" applyNumberFormat="1" applyFont="1" applyBorder="1" applyAlignment="1" applyProtection="1">
      <alignment horizontal="center" vertical="center" wrapText="1"/>
      <protection hidden="1"/>
    </xf>
    <xf numFmtId="3" fontId="55" fillId="0" borderId="11" xfId="56" applyNumberFormat="1" applyFont="1" applyBorder="1" applyAlignment="1" applyProtection="1">
      <alignment horizontal="center" vertical="center" wrapText="1"/>
      <protection hidden="1"/>
    </xf>
    <xf numFmtId="2" fontId="55" fillId="0" borderId="11" xfId="59" applyNumberFormat="1" applyFont="1" applyBorder="1" applyAlignment="1" applyProtection="1">
      <alignment horizontal="center" vertical="center" wrapText="1"/>
      <protection hidden="1"/>
    </xf>
    <xf numFmtId="4" fontId="55" fillId="0" borderId="11" xfId="56" applyNumberFormat="1" applyFont="1" applyBorder="1" applyAlignment="1" applyProtection="1">
      <alignment horizontal="center" vertical="center" wrapText="1"/>
      <protection hidden="1"/>
    </xf>
    <xf numFmtId="0" fontId="0" fillId="37" borderId="0" xfId="0" applyFont="1" applyFill="1" applyAlignment="1" applyProtection="1">
      <alignment horizontal="left" indent="1"/>
      <protection locked="0"/>
    </xf>
    <xf numFmtId="0" fontId="0" fillId="38" borderId="0" xfId="0" applyFill="1" applyAlignment="1">
      <alignment/>
    </xf>
    <xf numFmtId="0" fontId="0" fillId="0" borderId="0" xfId="0" applyFill="1" applyAlignment="1" applyProtection="1">
      <alignment/>
      <protection hidden="1"/>
    </xf>
    <xf numFmtId="0" fontId="0" fillId="0" borderId="0" xfId="0" applyAlignment="1" applyProtection="1">
      <alignment/>
      <protection hidden="1"/>
    </xf>
    <xf numFmtId="0" fontId="12" fillId="0" borderId="0" xfId="0" applyFont="1" applyFill="1" applyAlignment="1" applyProtection="1">
      <alignment horizontal="center" vertical="center"/>
      <protection hidden="1"/>
    </xf>
    <xf numFmtId="0" fontId="0" fillId="0" borderId="0" xfId="0" applyAlignment="1" applyProtection="1">
      <alignment vertical="center"/>
      <protection hidden="1"/>
    </xf>
    <xf numFmtId="0" fontId="0" fillId="38" borderId="0" xfId="0" applyFill="1" applyAlignment="1" applyProtection="1">
      <alignment/>
      <protection hidden="1"/>
    </xf>
    <xf numFmtId="0" fontId="0" fillId="38" borderId="0" xfId="0" applyFill="1" applyAlignment="1" applyProtection="1">
      <alignment vertical="center"/>
      <protection hidden="1"/>
    </xf>
    <xf numFmtId="0" fontId="32" fillId="0" borderId="0" xfId="0" applyFont="1" applyBorder="1" applyAlignment="1">
      <alignment horizontal="left"/>
    </xf>
    <xf numFmtId="0" fontId="56" fillId="0" borderId="0" xfId="0" applyFont="1" applyBorder="1" applyAlignment="1">
      <alignment horizontal="left" vertical="center"/>
    </xf>
    <xf numFmtId="0" fontId="32" fillId="0" borderId="0" xfId="0" applyFont="1" applyBorder="1" applyAlignment="1">
      <alignment horizontal="left" vertical="center"/>
    </xf>
    <xf numFmtId="0" fontId="32" fillId="0" borderId="0" xfId="0" applyFont="1" applyBorder="1" applyAlignment="1">
      <alignment horizontal="left" vertical="top"/>
    </xf>
    <xf numFmtId="0" fontId="32" fillId="0" borderId="0" xfId="0" applyFont="1" applyAlignment="1">
      <alignment horizontal="left"/>
    </xf>
    <xf numFmtId="0" fontId="57" fillId="0" borderId="0" xfId="0" applyFont="1" applyBorder="1" applyAlignment="1">
      <alignment horizontal="left"/>
    </xf>
    <xf numFmtId="0" fontId="32" fillId="0" borderId="0" xfId="0" applyFont="1" applyBorder="1" applyAlignment="1" quotePrefix="1">
      <alignment horizontal="left"/>
    </xf>
    <xf numFmtId="0" fontId="32" fillId="0" borderId="0" xfId="0" applyFont="1" applyAlignment="1">
      <alignment horizontal="center"/>
    </xf>
    <xf numFmtId="0" fontId="57" fillId="0" borderId="0" xfId="0" applyFont="1" applyBorder="1" applyAlignment="1">
      <alignment horizontal="center" vertical="center"/>
    </xf>
    <xf numFmtId="0" fontId="32" fillId="0" borderId="0" xfId="0" applyFont="1" applyBorder="1" applyAlignment="1">
      <alignment horizontal="center" vertical="top"/>
    </xf>
    <xf numFmtId="0" fontId="32" fillId="0" borderId="0" xfId="0" applyFont="1" applyBorder="1" applyAlignment="1">
      <alignment horizontal="center"/>
    </xf>
    <xf numFmtId="0" fontId="32" fillId="0" borderId="0" xfId="0" applyFont="1" applyBorder="1" applyAlignment="1">
      <alignment horizontal="center" vertical="center"/>
    </xf>
    <xf numFmtId="0" fontId="30" fillId="0" borderId="0" xfId="0" applyFont="1" applyBorder="1" applyAlignment="1">
      <alignment horizontal="left"/>
    </xf>
    <xf numFmtId="0" fontId="53" fillId="0" borderId="0" xfId="0" applyFont="1" applyAlignment="1">
      <alignment horizontal="center" vertical="center"/>
    </xf>
    <xf numFmtId="0" fontId="23" fillId="0" borderId="0" xfId="0" applyFont="1" applyAlignment="1">
      <alignment/>
    </xf>
    <xf numFmtId="0" fontId="30" fillId="0" borderId="0" xfId="0" applyFont="1" applyBorder="1" applyAlignment="1">
      <alignment horizontal="left" vertical="center"/>
    </xf>
    <xf numFmtId="0" fontId="23" fillId="0" borderId="0" xfId="0" applyFont="1" applyAlignment="1">
      <alignment horizontal="left"/>
    </xf>
    <xf numFmtId="0" fontId="30" fillId="0" borderId="0" xfId="0" applyFont="1" applyBorder="1" applyAlignment="1" quotePrefix="1">
      <alignment horizontal="left"/>
    </xf>
    <xf numFmtId="0" fontId="30" fillId="0" borderId="0" xfId="0" applyFont="1" applyBorder="1" applyAlignment="1">
      <alignment horizontal="right"/>
    </xf>
    <xf numFmtId="0" fontId="30" fillId="0" borderId="0" xfId="0" applyFont="1" applyAlignment="1">
      <alignment/>
    </xf>
    <xf numFmtId="178" fontId="32" fillId="0" borderId="0" xfId="0" applyNumberFormat="1" applyFont="1" applyBorder="1" applyAlignment="1">
      <alignment horizontal="left"/>
    </xf>
    <xf numFmtId="178" fontId="30" fillId="0" borderId="0" xfId="0" applyNumberFormat="1" applyFont="1" applyBorder="1" applyAlignment="1">
      <alignment horizontal="left"/>
    </xf>
    <xf numFmtId="0" fontId="50" fillId="0" borderId="0" xfId="56" applyFont="1" applyAlignment="1" applyProtection="1">
      <alignment horizontal="centerContinuous"/>
      <protection locked="0"/>
    </xf>
    <xf numFmtId="0" fontId="50" fillId="0" borderId="0" xfId="56" applyFont="1" applyAlignment="1" applyProtection="1">
      <alignment/>
      <protection locked="0"/>
    </xf>
    <xf numFmtId="0" fontId="12" fillId="0" borderId="0" xfId="56" applyFont="1" applyAlignment="1" applyProtection="1">
      <alignment horizontal="center" vertical="top"/>
      <protection locked="0"/>
    </xf>
    <xf numFmtId="0" fontId="12" fillId="0" borderId="0" xfId="56" applyFont="1" applyAlignment="1" applyProtection="1">
      <alignment horizontal="centerContinuous" vertical="top"/>
      <protection locked="0"/>
    </xf>
    <xf numFmtId="0" fontId="50" fillId="0" borderId="0" xfId="56" applyFont="1" applyAlignment="1" applyProtection="1">
      <alignment horizontal="centerContinuous" vertical="top"/>
      <protection locked="0"/>
    </xf>
    <xf numFmtId="0" fontId="50" fillId="0" borderId="0" xfId="56" applyFont="1" applyAlignment="1" applyProtection="1">
      <alignment vertical="top"/>
      <protection locked="0"/>
    </xf>
    <xf numFmtId="0" fontId="50" fillId="0" borderId="0" xfId="56" applyFont="1" applyAlignment="1" applyProtection="1">
      <alignment horizontal="center"/>
      <protection locked="0"/>
    </xf>
    <xf numFmtId="0" fontId="24" fillId="0" borderId="0" xfId="56" applyFont="1" applyAlignment="1" applyProtection="1">
      <alignment horizontal="centerContinuous"/>
      <protection locked="0"/>
    </xf>
    <xf numFmtId="174" fontId="0" fillId="0" borderId="0" xfId="0" applyNumberFormat="1" applyFill="1" applyAlignment="1">
      <alignment horizontal="left" wrapText="1"/>
    </xf>
    <xf numFmtId="174" fontId="0" fillId="0" borderId="0" xfId="0" applyNumberFormat="1" applyFill="1" applyAlignment="1">
      <alignment horizontal="center" wrapText="1"/>
    </xf>
    <xf numFmtId="0" fontId="0" fillId="0" borderId="0" xfId="0" applyAlignment="1">
      <alignment horizontal="left" wrapText="1"/>
    </xf>
    <xf numFmtId="0" fontId="0" fillId="0" borderId="0" xfId="0" applyFont="1" applyAlignment="1">
      <alignment horizontal="center"/>
    </xf>
    <xf numFmtId="0" fontId="46" fillId="0" borderId="16" xfId="0" applyFont="1" applyFill="1" applyBorder="1" applyAlignment="1" applyProtection="1">
      <alignment horizontal="center" vertical="center" wrapText="1"/>
      <protection/>
    </xf>
    <xf numFmtId="0" fontId="14" fillId="37" borderId="0" xfId="0" applyNumberFormat="1" applyFont="1" applyFill="1" applyAlignment="1" applyProtection="1">
      <alignment horizontal="center"/>
      <protection locked="0"/>
    </xf>
    <xf numFmtId="0" fontId="49" fillId="0" borderId="16" xfId="0" applyFont="1" applyFill="1" applyBorder="1" applyAlignment="1" applyProtection="1">
      <alignment horizontal="center" vertical="center" wrapText="1"/>
      <protection/>
    </xf>
    <xf numFmtId="17" fontId="0" fillId="37" borderId="0" xfId="0" applyNumberFormat="1" applyFill="1" applyAlignment="1" applyProtection="1">
      <alignment horizontal="center"/>
      <protection locked="0"/>
    </xf>
    <xf numFmtId="1" fontId="44" fillId="37" borderId="0" xfId="0" applyNumberFormat="1" applyFont="1" applyFill="1" applyAlignment="1" applyProtection="1">
      <alignment horizontal="center"/>
      <protection hidden="1"/>
    </xf>
    <xf numFmtId="0" fontId="22" fillId="0" borderId="0" xfId="56" applyFont="1" applyProtection="1">
      <alignment/>
      <protection locked="0"/>
    </xf>
    <xf numFmtId="0" fontId="27" fillId="0" borderId="0" xfId="56" applyFont="1" applyAlignment="1" applyProtection="1">
      <alignment horizontal="right"/>
      <protection locked="0"/>
    </xf>
    <xf numFmtId="0" fontId="58" fillId="0" borderId="0" xfId="56" applyFont="1" applyAlignment="1">
      <alignment horizontal="center"/>
      <protection/>
    </xf>
    <xf numFmtId="0" fontId="37" fillId="0" borderId="0" xfId="56" applyFont="1" applyAlignment="1" applyProtection="1">
      <alignment/>
      <protection locked="0"/>
    </xf>
    <xf numFmtId="0" fontId="13" fillId="0" borderId="0" xfId="56" applyFont="1" applyAlignment="1" applyProtection="1">
      <alignment horizontal="left" vertical="top"/>
      <protection locked="0"/>
    </xf>
    <xf numFmtId="0" fontId="13" fillId="0" borderId="0" xfId="56" applyFont="1" applyAlignment="1" applyProtection="1">
      <alignment vertical="top"/>
      <protection locked="0"/>
    </xf>
    <xf numFmtId="0" fontId="13" fillId="0" borderId="0" xfId="56" applyFont="1" applyProtection="1">
      <alignment/>
      <protection locked="0"/>
    </xf>
    <xf numFmtId="0" fontId="59" fillId="0" borderId="0" xfId="56" applyFont="1" applyAlignment="1">
      <alignment vertical="center"/>
      <protection/>
    </xf>
    <xf numFmtId="0" fontId="1" fillId="0" borderId="0" xfId="56" applyFont="1" applyBorder="1" applyAlignment="1">
      <alignment vertical="top" wrapText="1"/>
      <protection/>
    </xf>
    <xf numFmtId="0" fontId="59" fillId="0" borderId="0" xfId="56" applyFont="1" applyBorder="1" applyAlignment="1">
      <alignment horizontal="center" vertical="center" wrapText="1"/>
      <protection/>
    </xf>
    <xf numFmtId="0" fontId="59" fillId="0" borderId="0" xfId="56" applyFont="1" applyBorder="1" applyAlignment="1">
      <alignment horizontal="center" vertical="center" textRotation="90" wrapText="1"/>
      <protection/>
    </xf>
    <xf numFmtId="0" fontId="1" fillId="0" borderId="0" xfId="56" applyFont="1" applyBorder="1" applyAlignment="1">
      <alignment vertical="top" textRotation="90" wrapText="1"/>
      <protection/>
    </xf>
    <xf numFmtId="0" fontId="59" fillId="0" borderId="0" xfId="56" applyFont="1" applyAlignment="1">
      <alignment vertical="top"/>
      <protection/>
    </xf>
    <xf numFmtId="0" fontId="59" fillId="0" borderId="0" xfId="56" applyFont="1">
      <alignment/>
      <protection/>
    </xf>
    <xf numFmtId="0" fontId="50" fillId="0" borderId="0" xfId="56" applyFont="1" applyAlignment="1">
      <alignment vertical="center"/>
      <protection/>
    </xf>
    <xf numFmtId="0" fontId="59" fillId="0" borderId="0" xfId="56" applyFont="1" applyAlignment="1">
      <alignment horizontal="left" vertical="center"/>
      <protection/>
    </xf>
    <xf numFmtId="0" fontId="60" fillId="0" borderId="0" xfId="56" applyFont="1">
      <alignment/>
      <protection/>
    </xf>
    <xf numFmtId="0" fontId="50" fillId="0" borderId="21" xfId="56" applyFont="1" applyBorder="1" applyAlignment="1">
      <alignment horizontal="center"/>
      <protection/>
    </xf>
    <xf numFmtId="0" fontId="50" fillId="0" borderId="22" xfId="56" applyFont="1" applyBorder="1" applyAlignment="1">
      <alignment horizontal="center"/>
      <protection/>
    </xf>
    <xf numFmtId="0" fontId="50" fillId="0" borderId="18" xfId="56" applyFont="1" applyBorder="1" applyAlignment="1">
      <alignment horizontal="center"/>
      <protection/>
    </xf>
    <xf numFmtId="0" fontId="59" fillId="0" borderId="0" xfId="56" applyFont="1" applyAlignment="1">
      <alignment horizontal="left" vertical="top"/>
      <protection/>
    </xf>
    <xf numFmtId="0" fontId="59" fillId="0" borderId="0" xfId="56" applyFont="1" applyAlignment="1">
      <alignment horizontal="center"/>
      <protection/>
    </xf>
    <xf numFmtId="0" fontId="0" fillId="38" borderId="0" xfId="0" applyFill="1" applyAlignment="1">
      <alignment horizontal="center"/>
    </xf>
    <xf numFmtId="0" fontId="14" fillId="38" borderId="0" xfId="0" applyFont="1" applyFill="1" applyAlignment="1">
      <alignment horizontal="center"/>
    </xf>
    <xf numFmtId="0" fontId="14" fillId="37" borderId="0" xfId="0" applyFont="1" applyFill="1" applyAlignment="1" applyProtection="1">
      <alignment horizontal="center"/>
      <protection locked="0"/>
    </xf>
    <xf numFmtId="0" fontId="61" fillId="37" borderId="0" xfId="0" applyFont="1" applyFill="1" applyAlignment="1" applyProtection="1">
      <alignment horizontal="center"/>
      <protection locked="0"/>
    </xf>
    <xf numFmtId="0" fontId="14" fillId="0" borderId="0" xfId="0" applyFont="1" applyAlignment="1">
      <alignment horizontal="center"/>
    </xf>
    <xf numFmtId="0" fontId="35" fillId="0" borderId="0" xfId="55" applyFont="1" applyAlignment="1" applyProtection="1">
      <alignment horizontal="left"/>
      <protection hidden="1"/>
    </xf>
    <xf numFmtId="0" fontId="35" fillId="0" borderId="0" xfId="55" applyFont="1" applyAlignment="1" applyProtection="1">
      <alignment/>
      <protection hidden="1"/>
    </xf>
    <xf numFmtId="0" fontId="32" fillId="0" borderId="0" xfId="55" applyFont="1" applyProtection="1">
      <alignment/>
      <protection hidden="1" locked="0"/>
    </xf>
    <xf numFmtId="0" fontId="32" fillId="0" borderId="0" xfId="55" applyFont="1" applyAlignment="1" applyProtection="1">
      <alignment horizontal="left"/>
      <protection hidden="1" locked="0"/>
    </xf>
    <xf numFmtId="0" fontId="53" fillId="0" borderId="0" xfId="55" applyFont="1" applyAlignment="1" applyProtection="1">
      <alignment horizontal="center"/>
      <protection hidden="1" locked="0"/>
    </xf>
    <xf numFmtId="0" fontId="0" fillId="0" borderId="0" xfId="55" applyProtection="1">
      <alignment/>
      <protection hidden="1" locked="0"/>
    </xf>
    <xf numFmtId="0" fontId="56" fillId="0" borderId="0" xfId="55" applyFont="1" applyAlignment="1" applyProtection="1">
      <alignment horizontal="left" vertical="center"/>
      <protection hidden="1" locked="0"/>
    </xf>
    <xf numFmtId="0" fontId="32" fillId="0" borderId="0" xfId="55" applyFont="1" applyAlignment="1" applyProtection="1">
      <alignment horizontal="left" vertical="center"/>
      <protection hidden="1" locked="0"/>
    </xf>
    <xf numFmtId="0" fontId="32" fillId="0" borderId="0" xfId="55" applyFont="1" applyAlignment="1" applyProtection="1">
      <alignment horizontal="left" vertical="top"/>
      <protection hidden="1" locked="0"/>
    </xf>
    <xf numFmtId="0" fontId="57" fillId="0" borderId="0" xfId="55" applyFont="1" applyAlignment="1" applyProtection="1">
      <alignment horizontal="left" vertical="center"/>
      <protection hidden="1" locked="0"/>
    </xf>
    <xf numFmtId="0" fontId="32" fillId="0" borderId="0" xfId="55" applyFont="1" applyAlignment="1" applyProtection="1">
      <alignment/>
      <protection hidden="1" locked="0"/>
    </xf>
    <xf numFmtId="0" fontId="35" fillId="0" borderId="0" xfId="55" applyFont="1" applyAlignment="1" applyProtection="1">
      <alignment horizontal="left"/>
      <protection hidden="1" locked="0"/>
    </xf>
    <xf numFmtId="0" fontId="35" fillId="0" borderId="0" xfId="55" applyFont="1" applyAlignment="1" applyProtection="1">
      <alignment/>
      <protection hidden="1" locked="0"/>
    </xf>
    <xf numFmtId="0" fontId="57" fillId="0" borderId="0" xfId="55" applyFont="1" applyAlignment="1" applyProtection="1">
      <alignment horizontal="left"/>
      <protection hidden="1" locked="0"/>
    </xf>
    <xf numFmtId="49" fontId="34" fillId="0" borderId="0" xfId="55" applyNumberFormat="1" applyFont="1" applyAlignment="1" applyProtection="1" quotePrefix="1">
      <alignment/>
      <protection hidden="1" locked="0"/>
    </xf>
    <xf numFmtId="0" fontId="57" fillId="0" borderId="0" xfId="55" applyFont="1" applyAlignment="1" applyProtection="1">
      <alignment vertical="center"/>
      <protection hidden="1" locked="0"/>
    </xf>
    <xf numFmtId="0" fontId="57" fillId="0" borderId="0" xfId="55" applyFont="1" applyAlignment="1" applyProtection="1">
      <alignment horizontal="center" vertical="center"/>
      <protection hidden="1" locked="0"/>
    </xf>
    <xf numFmtId="0" fontId="32" fillId="0" borderId="0" xfId="55" applyFont="1" applyAlignment="1" applyProtection="1">
      <alignment vertical="center"/>
      <protection hidden="1" locked="0"/>
    </xf>
    <xf numFmtId="0" fontId="32" fillId="0" borderId="0" xfId="55" applyFont="1" applyAlignment="1" applyProtection="1">
      <alignment horizontal="center" vertical="center"/>
      <protection hidden="1" locked="0"/>
    </xf>
    <xf numFmtId="0" fontId="32" fillId="0" borderId="0" xfId="55" applyFont="1" applyAlignment="1" applyProtection="1">
      <alignment/>
      <protection hidden="1"/>
    </xf>
    <xf numFmtId="0" fontId="44" fillId="0" borderId="0" xfId="55" applyFont="1" applyProtection="1">
      <alignment/>
      <protection hidden="1"/>
    </xf>
    <xf numFmtId="0" fontId="0" fillId="0" borderId="0" xfId="55" applyProtection="1">
      <alignment/>
      <protection hidden="1"/>
    </xf>
    <xf numFmtId="0" fontId="14" fillId="0" borderId="0" xfId="55" applyFont="1" applyProtection="1">
      <alignment/>
      <protection hidden="1"/>
    </xf>
    <xf numFmtId="0" fontId="0" fillId="0" borderId="0" xfId="55" applyAlignment="1" applyProtection="1">
      <alignment horizontal="left"/>
      <protection hidden="1"/>
    </xf>
    <xf numFmtId="0" fontId="62" fillId="0" borderId="0" xfId="55" applyFont="1" applyAlignment="1" applyProtection="1">
      <alignment horizontal="center"/>
      <protection hidden="1"/>
    </xf>
    <xf numFmtId="0" fontId="62" fillId="0" borderId="0" xfId="55" applyFont="1" applyAlignment="1" applyProtection="1">
      <alignment horizontal="left"/>
      <protection hidden="1"/>
    </xf>
    <xf numFmtId="0" fontId="6" fillId="0" borderId="16" xfId="55" applyFont="1" applyBorder="1" applyProtection="1">
      <alignment/>
      <protection hidden="1"/>
    </xf>
    <xf numFmtId="0" fontId="7" fillId="0" borderId="23" xfId="55" applyFont="1" applyBorder="1" applyAlignment="1" applyProtection="1">
      <alignment horizontal="centerContinuous" vertical="center" wrapText="1"/>
      <protection hidden="1"/>
    </xf>
    <xf numFmtId="0" fontId="7" fillId="0" borderId="13" xfId="55" applyFont="1" applyBorder="1" applyAlignment="1" applyProtection="1">
      <alignment horizontal="centerContinuous"/>
      <protection hidden="1"/>
    </xf>
    <xf numFmtId="0" fontId="6" fillId="0" borderId="12" xfId="55" applyFont="1" applyBorder="1" applyProtection="1">
      <alignment/>
      <protection hidden="1"/>
    </xf>
    <xf numFmtId="0" fontId="7" fillId="0" borderId="11" xfId="55" applyFont="1" applyBorder="1" applyAlignment="1" applyProtection="1">
      <alignment horizontal="centerContinuous"/>
      <protection hidden="1"/>
    </xf>
    <xf numFmtId="0" fontId="6" fillId="0" borderId="11" xfId="55" applyFont="1" applyBorder="1" applyAlignment="1" applyProtection="1">
      <alignment horizontal="centerContinuous"/>
      <protection hidden="1"/>
    </xf>
    <xf numFmtId="0" fontId="6" fillId="0" borderId="13" xfId="55" applyFont="1" applyBorder="1" applyProtection="1">
      <alignment/>
      <protection hidden="1"/>
    </xf>
    <xf numFmtId="0" fontId="11" fillId="0" borderId="16" xfId="55" applyFont="1" applyFill="1" applyBorder="1" applyAlignment="1" applyProtection="1">
      <alignment horizontal="center" vertical="center"/>
      <protection hidden="1"/>
    </xf>
    <xf numFmtId="0" fontId="49" fillId="0" borderId="0" xfId="55" applyFont="1" applyFill="1" applyBorder="1" applyAlignment="1" applyProtection="1">
      <alignment horizontal="center" vertical="center"/>
      <protection hidden="1"/>
    </xf>
    <xf numFmtId="0" fontId="11" fillId="0" borderId="0" xfId="55" applyFont="1" applyFill="1" applyAlignment="1" applyProtection="1">
      <alignment horizontal="left"/>
      <protection hidden="1"/>
    </xf>
    <xf numFmtId="0" fontId="11" fillId="0" borderId="0" xfId="55" applyFont="1" applyFill="1" applyAlignment="1" applyProtection="1">
      <alignment horizontal="center"/>
      <protection hidden="1"/>
    </xf>
    <xf numFmtId="172" fontId="0" fillId="0" borderId="0" xfId="55" applyNumberFormat="1" applyFont="1" applyBorder="1" applyAlignment="1" applyProtection="1">
      <alignment horizontal="center" vertical="center"/>
      <protection hidden="1"/>
    </xf>
    <xf numFmtId="3" fontId="45" fillId="0" borderId="0" xfId="55" applyNumberFormat="1" applyFont="1" applyFill="1" applyBorder="1" applyAlignment="1" applyProtection="1">
      <alignment horizontal="center" vertical="center"/>
      <protection hidden="1"/>
    </xf>
    <xf numFmtId="3" fontId="0" fillId="0" borderId="0" xfId="55" applyNumberFormat="1" applyFont="1" applyFill="1" applyBorder="1" applyAlignment="1" applyProtection="1">
      <alignment horizontal="center" vertical="center"/>
      <protection hidden="1"/>
    </xf>
    <xf numFmtId="2" fontId="0" fillId="0" borderId="0" xfId="59" applyNumberFormat="1" applyFont="1" applyFill="1" applyBorder="1" applyAlignment="1" applyProtection="1">
      <alignment horizontal="center" vertical="center"/>
      <protection hidden="1"/>
    </xf>
    <xf numFmtId="0" fontId="0" fillId="0" borderId="0" xfId="55" applyFont="1" applyBorder="1" applyAlignment="1" applyProtection="1">
      <alignment horizontal="center" vertical="center"/>
      <protection hidden="1"/>
    </xf>
    <xf numFmtId="0" fontId="14" fillId="0" borderId="0" xfId="55" applyFont="1" applyBorder="1" applyAlignment="1" applyProtection="1">
      <alignment horizontal="center" vertical="center"/>
      <protection hidden="1"/>
    </xf>
    <xf numFmtId="0" fontId="0" fillId="0" borderId="0" xfId="55" applyFont="1" applyFill="1" applyBorder="1" applyAlignment="1" applyProtection="1">
      <alignment horizontal="left" vertical="center"/>
      <protection hidden="1"/>
    </xf>
    <xf numFmtId="0" fontId="0" fillId="0" borderId="0" xfId="55" applyFont="1" applyFill="1" applyBorder="1" applyAlignment="1" applyProtection="1">
      <alignment horizontal="center" vertical="center"/>
      <protection hidden="1"/>
    </xf>
    <xf numFmtId="2" fontId="0" fillId="0" borderId="0" xfId="59" applyNumberFormat="1" applyFont="1" applyBorder="1" applyAlignment="1" applyProtection="1">
      <alignment horizontal="center" vertical="center"/>
      <protection hidden="1"/>
    </xf>
    <xf numFmtId="0" fontId="0" fillId="0" borderId="0" xfId="55" applyFont="1" applyBorder="1" applyAlignment="1" applyProtection="1">
      <alignment vertical="center"/>
      <protection hidden="1"/>
    </xf>
    <xf numFmtId="0" fontId="12" fillId="0" borderId="0" xfId="55" applyFont="1" applyBorder="1" applyAlignment="1" applyProtection="1">
      <alignment horizontal="right" vertical="center"/>
      <protection hidden="1"/>
    </xf>
    <xf numFmtId="0" fontId="12" fillId="0" borderId="0" xfId="55" applyFont="1" applyBorder="1" applyAlignment="1" applyProtection="1">
      <alignment horizontal="center" vertical="center"/>
      <protection hidden="1"/>
    </xf>
    <xf numFmtId="2" fontId="12" fillId="0" borderId="0" xfId="59" applyNumberFormat="1" applyFont="1" applyBorder="1" applyAlignment="1" applyProtection="1">
      <alignment horizontal="center" vertical="center"/>
      <protection hidden="1"/>
    </xf>
    <xf numFmtId="0" fontId="46" fillId="0" borderId="0" xfId="55" applyFont="1" applyBorder="1" applyAlignment="1" applyProtection="1">
      <alignment vertical="center"/>
      <protection hidden="1"/>
    </xf>
    <xf numFmtId="0" fontId="12" fillId="0" borderId="0" xfId="55" applyFont="1" applyFill="1" applyBorder="1" applyAlignment="1" applyProtection="1">
      <alignment horizontal="left" vertical="center"/>
      <protection hidden="1"/>
    </xf>
    <xf numFmtId="0" fontId="12" fillId="0" borderId="0" xfId="55" applyFont="1" applyBorder="1" applyAlignment="1" applyProtection="1">
      <alignment vertical="center"/>
      <protection hidden="1"/>
    </xf>
    <xf numFmtId="0" fontId="0" fillId="0" borderId="0" xfId="55" applyBorder="1" applyAlignment="1" applyProtection="1">
      <alignment horizontal="center"/>
      <protection hidden="1"/>
    </xf>
    <xf numFmtId="2" fontId="0" fillId="0" borderId="0" xfId="55" applyNumberFormat="1" applyBorder="1" applyAlignment="1" applyProtection="1">
      <alignment horizontal="center"/>
      <protection hidden="1"/>
    </xf>
    <xf numFmtId="0" fontId="14" fillId="0" borderId="0" xfId="55" applyFont="1" applyBorder="1" applyAlignment="1" applyProtection="1">
      <alignment horizontal="center"/>
      <protection hidden="1"/>
    </xf>
    <xf numFmtId="0" fontId="0" fillId="0" borderId="0" xfId="55" applyBorder="1" applyProtection="1">
      <alignment/>
      <protection hidden="1"/>
    </xf>
    <xf numFmtId="0" fontId="12" fillId="0" borderId="0" xfId="55" applyFont="1" applyAlignment="1" applyProtection="1">
      <alignment horizontal="center"/>
      <protection hidden="1"/>
    </xf>
    <xf numFmtId="2" fontId="12" fillId="0" borderId="0" xfId="55" applyNumberFormat="1" applyFont="1" applyAlignment="1" applyProtection="1">
      <alignment horizontal="center"/>
      <protection hidden="1"/>
    </xf>
    <xf numFmtId="0" fontId="46" fillId="0" borderId="0" xfId="55" applyFont="1" applyAlignment="1" applyProtection="1">
      <alignment horizontal="center"/>
      <protection hidden="1"/>
    </xf>
    <xf numFmtId="0" fontId="12" fillId="0" borderId="0" xfId="55" applyFont="1" applyAlignment="1" applyProtection="1">
      <alignment horizontal="left"/>
      <protection hidden="1"/>
    </xf>
    <xf numFmtId="0" fontId="12" fillId="0" borderId="0" xfId="55" applyFont="1" applyProtection="1">
      <alignment/>
      <protection hidden="1"/>
    </xf>
    <xf numFmtId="0" fontId="0" fillId="0" borderId="0" xfId="55" applyAlignment="1" applyProtection="1">
      <alignment horizontal="center"/>
      <protection hidden="1"/>
    </xf>
    <xf numFmtId="2" fontId="0" fillId="0" borderId="0" xfId="55" applyNumberFormat="1" applyAlignment="1" applyProtection="1">
      <alignment horizontal="center"/>
      <protection hidden="1"/>
    </xf>
    <xf numFmtId="0" fontId="14" fillId="0" borderId="0" xfId="55" applyFont="1" applyAlignment="1" applyProtection="1">
      <alignment horizontal="center"/>
      <protection hidden="1"/>
    </xf>
    <xf numFmtId="0" fontId="0" fillId="0" borderId="0" xfId="55" applyAlignment="1" applyProtection="1">
      <alignment horizontal="right"/>
      <protection hidden="1"/>
    </xf>
    <xf numFmtId="0" fontId="2" fillId="0" borderId="0" xfId="55" applyFont="1" applyAlignment="1" applyProtection="1">
      <alignment/>
      <protection hidden="1" locked="0"/>
    </xf>
    <xf numFmtId="0" fontId="3" fillId="0" borderId="0" xfId="55" applyFont="1" applyAlignment="1" applyProtection="1">
      <alignment horizontal="centerContinuous" vertical="center"/>
      <protection hidden="1" locked="0"/>
    </xf>
    <xf numFmtId="0" fontId="4" fillId="0" borderId="0" xfId="55" applyFont="1" applyAlignment="1" applyProtection="1">
      <alignment/>
      <protection hidden="1" locked="0"/>
    </xf>
    <xf numFmtId="0" fontId="5" fillId="0" borderId="0" xfId="55" applyFont="1" applyAlignment="1" applyProtection="1">
      <alignment horizontal="centerContinuous" vertical="center"/>
      <protection hidden="1" locked="0"/>
    </xf>
    <xf numFmtId="0" fontId="0" fillId="0" borderId="0" xfId="55" applyFont="1" applyAlignment="1" applyProtection="1">
      <alignment/>
      <protection hidden="1" locked="0"/>
    </xf>
    <xf numFmtId="0" fontId="62" fillId="0" borderId="0" xfId="55" applyFont="1" applyAlignment="1" applyProtection="1">
      <alignment horizontal="center"/>
      <protection hidden="1" locked="0"/>
    </xf>
    <xf numFmtId="0" fontId="63" fillId="0" borderId="0" xfId="55" applyFont="1" applyProtection="1">
      <alignment/>
      <protection hidden="1" locked="0"/>
    </xf>
    <xf numFmtId="0" fontId="6" fillId="0" borderId="0" xfId="56" applyFont="1" applyProtection="1">
      <alignment/>
      <protection hidden="1"/>
    </xf>
    <xf numFmtId="0" fontId="50" fillId="0" borderId="0" xfId="56" applyFont="1" applyProtection="1">
      <alignment/>
      <protection hidden="1"/>
    </xf>
    <xf numFmtId="0" fontId="64" fillId="0" borderId="0" xfId="56" applyFont="1" applyAlignment="1" applyProtection="1">
      <alignment horizontal="left"/>
      <protection hidden="1"/>
    </xf>
    <xf numFmtId="0" fontId="26" fillId="0" borderId="0" xfId="56" applyFont="1" applyAlignment="1" applyProtection="1">
      <alignment horizontal="right"/>
      <protection hidden="1"/>
    </xf>
    <xf numFmtId="0" fontId="0" fillId="0" borderId="0" xfId="56" applyFont="1" applyAlignment="1" applyProtection="1">
      <alignment/>
      <protection hidden="1"/>
    </xf>
    <xf numFmtId="0" fontId="12" fillId="0" borderId="0" xfId="56" applyFont="1" applyAlignment="1" applyProtection="1">
      <alignment/>
      <protection hidden="1"/>
    </xf>
    <xf numFmtId="0" fontId="22" fillId="0" borderId="11" xfId="56" applyFont="1" applyBorder="1" applyAlignment="1" applyProtection="1">
      <alignment horizontal="center" vertical="center" wrapText="1"/>
      <protection hidden="1"/>
    </xf>
    <xf numFmtId="0" fontId="6" fillId="0" borderId="11" xfId="56" applyFont="1" applyBorder="1" applyAlignment="1" applyProtection="1">
      <alignment horizontal="center" vertical="center" wrapText="1"/>
      <protection hidden="1"/>
    </xf>
    <xf numFmtId="0" fontId="20" fillId="0" borderId="16" xfId="0" applyFont="1" applyFill="1" applyBorder="1" applyAlignment="1" applyProtection="1">
      <alignment horizontal="center" vertical="center" wrapText="1"/>
      <protection hidden="1"/>
    </xf>
    <xf numFmtId="0" fontId="0" fillId="0" borderId="0" xfId="0" applyFont="1" applyAlignment="1" applyProtection="1">
      <alignment/>
      <protection hidden="1"/>
    </xf>
    <xf numFmtId="0" fontId="0" fillId="37" borderId="0" xfId="0" applyFill="1" applyAlignment="1" applyProtection="1">
      <alignment horizontal="center"/>
      <protection hidden="1"/>
    </xf>
    <xf numFmtId="0" fontId="14" fillId="37" borderId="0" xfId="0" applyNumberFormat="1" applyFont="1" applyFill="1" applyAlignment="1" applyProtection="1">
      <alignment horizontal="center"/>
      <protection hidden="1"/>
    </xf>
    <xf numFmtId="0" fontId="13" fillId="0" borderId="0" xfId="56" applyFont="1" applyAlignment="1" applyProtection="1">
      <alignment/>
      <protection hidden="1" locked="0"/>
    </xf>
    <xf numFmtId="0" fontId="6" fillId="0" borderId="0" xfId="56" applyFont="1" applyProtection="1">
      <alignment/>
      <protection hidden="1" locked="0"/>
    </xf>
    <xf numFmtId="0" fontId="12" fillId="0" borderId="0" xfId="56" applyFont="1" applyAlignment="1" applyProtection="1">
      <alignment/>
      <protection hidden="1" locked="0"/>
    </xf>
    <xf numFmtId="0" fontId="13" fillId="0" borderId="0" xfId="56" applyFont="1" applyAlignment="1" applyProtection="1">
      <alignment horizontal="center"/>
      <protection hidden="1" locked="0"/>
    </xf>
    <xf numFmtId="0" fontId="25" fillId="0" borderId="0" xfId="56" applyFont="1" applyAlignment="1" applyProtection="1">
      <alignment/>
      <protection hidden="1" locked="0"/>
    </xf>
    <xf numFmtId="0" fontId="35" fillId="0" borderId="0" xfId="55" applyFont="1" applyAlignment="1" applyProtection="1">
      <alignment horizontal="right"/>
      <protection hidden="1"/>
    </xf>
    <xf numFmtId="0" fontId="50" fillId="0" borderId="0" xfId="56" applyFont="1" applyAlignment="1" applyProtection="1">
      <alignment vertical="center"/>
      <protection hidden="1"/>
    </xf>
    <xf numFmtId="0" fontId="50" fillId="0" borderId="0" xfId="56" applyFont="1" applyAlignment="1" applyProtection="1">
      <alignment horizontal="left" vertical="center"/>
      <protection hidden="1"/>
    </xf>
    <xf numFmtId="0" fontId="53" fillId="0" borderId="0" xfId="56" applyFont="1" applyAlignment="1">
      <alignment horizontal="right"/>
      <protection/>
    </xf>
    <xf numFmtId="0" fontId="53" fillId="0" borderId="0" xfId="56" applyFont="1">
      <alignment/>
      <protection/>
    </xf>
    <xf numFmtId="0" fontId="12" fillId="0" borderId="0" xfId="56" applyFont="1" applyAlignment="1" applyProtection="1">
      <alignment horizontal="centerContinuous" vertical="center"/>
      <protection hidden="1"/>
    </xf>
    <xf numFmtId="0" fontId="50" fillId="0" borderId="0" xfId="56" applyFont="1" applyAlignment="1" applyProtection="1">
      <alignment horizontal="centerContinuous" vertical="center"/>
      <protection hidden="1"/>
    </xf>
    <xf numFmtId="0" fontId="24" fillId="0" borderId="0" xfId="56" applyFont="1" applyAlignment="1" applyProtection="1">
      <alignment horizontal="centerContinuous" vertical="center"/>
      <protection hidden="1"/>
    </xf>
    <xf numFmtId="0" fontId="22" fillId="0" borderId="0" xfId="56" applyFont="1" applyAlignment="1" applyProtection="1">
      <alignment horizontal="left" vertical="center"/>
      <protection hidden="1"/>
    </xf>
    <xf numFmtId="0" fontId="50" fillId="0" borderId="0" xfId="56" applyFont="1" applyAlignment="1" applyProtection="1">
      <alignment vertical="center" wrapText="1"/>
      <protection hidden="1"/>
    </xf>
    <xf numFmtId="0" fontId="24" fillId="0" borderId="0" xfId="56" applyFont="1" applyAlignment="1" applyProtection="1">
      <alignment vertical="center"/>
      <protection hidden="1"/>
    </xf>
    <xf numFmtId="0" fontId="50" fillId="0" borderId="0" xfId="56" applyFont="1" applyAlignment="1" applyProtection="1">
      <alignment/>
      <protection hidden="1"/>
    </xf>
    <xf numFmtId="0" fontId="2" fillId="0" borderId="0" xfId="56" applyFont="1" applyAlignment="1" applyProtection="1">
      <alignment horizontal="left"/>
      <protection hidden="1"/>
    </xf>
    <xf numFmtId="0" fontId="23" fillId="0" borderId="0" xfId="56" applyFont="1" applyAlignment="1" applyProtection="1">
      <alignment horizontal="justify" wrapText="1"/>
      <protection locked="0"/>
    </xf>
    <xf numFmtId="0" fontId="23" fillId="0" borderId="0" xfId="56" applyFont="1" applyAlignment="1" applyProtection="1">
      <alignment horizontal="right"/>
      <protection hidden="1"/>
    </xf>
    <xf numFmtId="0" fontId="51" fillId="0" borderId="0" xfId="56" applyFont="1" applyAlignment="1" applyProtection="1">
      <alignment horizontal="left"/>
      <protection hidden="1"/>
    </xf>
    <xf numFmtId="0" fontId="51" fillId="0" borderId="0" xfId="56" applyFont="1" applyAlignment="1" applyProtection="1">
      <alignment/>
      <protection hidden="1"/>
    </xf>
    <xf numFmtId="0" fontId="52" fillId="0" borderId="0" xfId="56" applyFont="1" applyAlignment="1" applyProtection="1">
      <alignment/>
      <protection hidden="1"/>
    </xf>
    <xf numFmtId="0" fontId="51" fillId="0" borderId="0" xfId="56" applyFont="1" applyAlignment="1" applyProtection="1">
      <alignment horizontal="right"/>
      <protection hidden="1"/>
    </xf>
    <xf numFmtId="0" fontId="23" fillId="0" borderId="0" xfId="56" applyFont="1" applyAlignment="1" applyProtection="1">
      <alignment/>
      <protection hidden="1"/>
    </xf>
    <xf numFmtId="0" fontId="51" fillId="0" borderId="0" xfId="56" applyNumberFormat="1" applyFont="1" applyAlignment="1" applyProtection="1">
      <alignment horizontal="left"/>
      <protection hidden="1"/>
    </xf>
    <xf numFmtId="3" fontId="52" fillId="0" borderId="0" xfId="56" applyNumberFormat="1" applyFont="1" applyBorder="1" applyAlignment="1" applyProtection="1">
      <alignment/>
      <protection hidden="1"/>
    </xf>
    <xf numFmtId="0" fontId="51" fillId="0" borderId="0" xfId="56" applyNumberFormat="1" applyFont="1" applyAlignment="1" applyProtection="1" quotePrefix="1">
      <alignment horizontal="left"/>
      <protection hidden="1"/>
    </xf>
    <xf numFmtId="9" fontId="52" fillId="0" borderId="0" xfId="60" applyFont="1" applyBorder="1" applyAlignment="1" applyProtection="1">
      <alignment/>
      <protection hidden="1"/>
    </xf>
    <xf numFmtId="3" fontId="52" fillId="0" borderId="0" xfId="56" applyNumberFormat="1" applyFont="1" applyAlignment="1" applyProtection="1">
      <alignment/>
      <protection hidden="1"/>
    </xf>
    <xf numFmtId="0" fontId="52" fillId="0" borderId="0" xfId="56" applyFont="1" applyBorder="1" applyAlignment="1" applyProtection="1">
      <alignment/>
      <protection hidden="1"/>
    </xf>
    <xf numFmtId="0" fontId="52" fillId="0" borderId="0" xfId="56" applyNumberFormat="1" applyFont="1" applyAlignment="1" applyProtection="1">
      <alignment/>
      <protection hidden="1"/>
    </xf>
    <xf numFmtId="10" fontId="52" fillId="0" borderId="0" xfId="60" applyNumberFormat="1" applyFont="1" applyBorder="1" applyAlignment="1" applyProtection="1">
      <alignment/>
      <protection hidden="1"/>
    </xf>
    <xf numFmtId="0" fontId="52" fillId="0" borderId="0" xfId="56" applyNumberFormat="1" applyFont="1" applyBorder="1" applyAlignment="1" applyProtection="1">
      <alignment/>
      <protection hidden="1"/>
    </xf>
    <xf numFmtId="49" fontId="51" fillId="0" borderId="0" xfId="56" applyNumberFormat="1" applyFont="1" applyAlignment="1" applyProtection="1">
      <alignment horizontal="left"/>
      <protection hidden="1"/>
    </xf>
    <xf numFmtId="181" fontId="51" fillId="0" borderId="0" xfId="56" applyNumberFormat="1" applyFont="1" applyAlignment="1" applyProtection="1">
      <alignment horizontal="right"/>
      <protection hidden="1"/>
    </xf>
    <xf numFmtId="0" fontId="23" fillId="0" borderId="0" xfId="56" applyNumberFormat="1" applyFont="1" applyAlignment="1" applyProtection="1">
      <alignment wrapText="1"/>
      <protection hidden="1"/>
    </xf>
    <xf numFmtId="3" fontId="51" fillId="0" borderId="0" xfId="56" applyNumberFormat="1" applyFont="1" applyAlignment="1" applyProtection="1">
      <alignment/>
      <protection hidden="1"/>
    </xf>
    <xf numFmtId="3" fontId="51" fillId="0" borderId="0" xfId="56" applyNumberFormat="1" applyFont="1" applyAlignment="1" applyProtection="1">
      <alignment horizontal="center"/>
      <protection hidden="1"/>
    </xf>
    <xf numFmtId="0" fontId="50" fillId="0" borderId="0" xfId="56" applyFont="1" applyAlignment="1" applyProtection="1">
      <alignment/>
      <protection locked="0"/>
    </xf>
    <xf numFmtId="0" fontId="23" fillId="0" borderId="0" xfId="56" applyFont="1" applyAlignment="1" applyProtection="1">
      <alignment/>
      <protection locked="0"/>
    </xf>
    <xf numFmtId="0" fontId="6" fillId="0" borderId="0" xfId="56" applyFont="1" applyAlignment="1" applyProtection="1">
      <alignment horizontal="left"/>
      <protection locked="0"/>
    </xf>
    <xf numFmtId="0" fontId="23" fillId="0" borderId="0" xfId="56" applyNumberFormat="1" applyFont="1" applyAlignment="1" applyProtection="1">
      <alignment horizontal="justify" wrapText="1"/>
      <protection locked="0"/>
    </xf>
    <xf numFmtId="0" fontId="23" fillId="0" borderId="0" xfId="56" applyFont="1" applyAlignment="1" applyProtection="1">
      <alignment horizontal="center" vertical="center" wrapText="1"/>
      <protection locked="0"/>
    </xf>
    <xf numFmtId="0" fontId="23" fillId="0" borderId="0" xfId="56" applyFont="1" applyAlignment="1" applyProtection="1">
      <alignment horizontal="justify" vertical="center" wrapText="1"/>
      <protection locked="0"/>
    </xf>
    <xf numFmtId="0" fontId="24" fillId="0" borderId="0" xfId="56" applyFont="1" applyAlignment="1" applyProtection="1">
      <alignment vertical="center" wrapText="1"/>
      <protection hidden="1"/>
    </xf>
    <xf numFmtId="0" fontId="24" fillId="0" borderId="0" xfId="56" applyFont="1" applyAlignment="1" applyProtection="1">
      <alignment horizontal="center" vertical="center" wrapText="1"/>
      <protection hidden="1"/>
    </xf>
    <xf numFmtId="0" fontId="21" fillId="0" borderId="0" xfId="56" applyFont="1" applyAlignment="1" applyProtection="1">
      <alignment vertical="center"/>
      <protection hidden="1"/>
    </xf>
    <xf numFmtId="0" fontId="27" fillId="0" borderId="0" xfId="56" applyFont="1" applyAlignment="1" applyProtection="1">
      <alignment horizontal="center" vertical="center" wrapText="1"/>
      <protection hidden="1"/>
    </xf>
    <xf numFmtId="0" fontId="21" fillId="0" borderId="0" xfId="56" applyFont="1" applyAlignment="1" applyProtection="1">
      <alignment vertical="center" wrapText="1"/>
      <protection hidden="1"/>
    </xf>
    <xf numFmtId="0" fontId="23" fillId="0" borderId="0" xfId="56" applyFont="1" applyAlignment="1" applyProtection="1">
      <alignment horizontal="left" vertical="center" wrapText="1"/>
      <protection hidden="1"/>
    </xf>
    <xf numFmtId="0" fontId="23" fillId="0" borderId="0" xfId="56" applyFont="1" applyAlignment="1" applyProtection="1">
      <alignment horizontal="center" vertical="center" wrapText="1"/>
      <protection hidden="1"/>
    </xf>
    <xf numFmtId="0" fontId="14" fillId="37" borderId="0" xfId="0" applyFont="1" applyFill="1" applyAlignment="1">
      <alignment/>
    </xf>
    <xf numFmtId="0" fontId="0" fillId="37" borderId="0" xfId="0" applyFont="1" applyFill="1" applyAlignment="1">
      <alignment horizontal="left" indent="1"/>
    </xf>
    <xf numFmtId="0" fontId="0" fillId="37" borderId="0" xfId="0" applyFont="1" applyFill="1" applyAlignment="1">
      <alignment horizontal="center"/>
    </xf>
    <xf numFmtId="0" fontId="0" fillId="37" borderId="0" xfId="0" applyFill="1" applyAlignment="1">
      <alignment horizontal="center"/>
    </xf>
    <xf numFmtId="0" fontId="4" fillId="0" borderId="0" xfId="0" applyFont="1" applyAlignment="1">
      <alignment horizontal="center"/>
    </xf>
    <xf numFmtId="0" fontId="12" fillId="0" borderId="0" xfId="0" applyFont="1" applyAlignment="1">
      <alignment horizontal="center"/>
    </xf>
    <xf numFmtId="0" fontId="0" fillId="37" borderId="0" xfId="0" applyNumberFormat="1" applyFill="1" applyAlignment="1">
      <alignment horizontal="center"/>
    </xf>
    <xf numFmtId="0" fontId="0" fillId="37" borderId="0" xfId="0" applyFont="1" applyFill="1" applyAlignment="1">
      <alignment horizontal="center" wrapText="1"/>
    </xf>
    <xf numFmtId="0" fontId="2" fillId="0" borderId="0" xfId="55" applyFont="1" applyFill="1" applyAlignment="1">
      <alignment horizontal="center"/>
      <protection/>
    </xf>
    <xf numFmtId="0" fontId="2" fillId="0" borderId="0" xfId="55" applyFont="1" applyFill="1" applyAlignment="1">
      <alignment horizontal="center" wrapText="1"/>
      <protection/>
    </xf>
    <xf numFmtId="0" fontId="2" fillId="0" borderId="0" xfId="55" applyFont="1" applyFill="1" applyBorder="1" applyAlignment="1">
      <alignment horizontal="center"/>
      <protection/>
    </xf>
    <xf numFmtId="0" fontId="65" fillId="39" borderId="16" xfId="0" applyFont="1" applyFill="1" applyBorder="1" applyAlignment="1">
      <alignment horizontal="center"/>
    </xf>
    <xf numFmtId="0" fontId="46" fillId="0" borderId="13" xfId="0" applyFont="1" applyFill="1" applyBorder="1" applyAlignment="1">
      <alignment horizontal="center" vertical="center"/>
    </xf>
    <xf numFmtId="0" fontId="66" fillId="40" borderId="24" xfId="0" applyFont="1" applyFill="1" applyBorder="1" applyAlignment="1">
      <alignment horizontal="center" vertical="center"/>
    </xf>
    <xf numFmtId="0" fontId="66" fillId="40" borderId="0" xfId="0" applyFont="1" applyFill="1" applyBorder="1" applyAlignment="1">
      <alignment horizontal="center" vertical="center"/>
    </xf>
    <xf numFmtId="0" fontId="66" fillId="40" borderId="25" xfId="0" applyFont="1" applyFill="1" applyBorder="1" applyAlignment="1">
      <alignment horizontal="center" vertical="center"/>
    </xf>
    <xf numFmtId="0" fontId="66" fillId="40" borderId="10" xfId="0" applyFont="1" applyFill="1" applyBorder="1" applyAlignment="1">
      <alignment horizontal="center" vertical="center"/>
    </xf>
    <xf numFmtId="0" fontId="18" fillId="33" borderId="24"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26" xfId="0" applyFont="1" applyFill="1" applyBorder="1" applyAlignment="1">
      <alignment horizontal="center" vertical="center"/>
    </xf>
    <xf numFmtId="0" fontId="18" fillId="33" borderId="25" xfId="0" applyFont="1" applyFill="1" applyBorder="1" applyAlignment="1">
      <alignment horizontal="center" vertical="center"/>
    </xf>
    <xf numFmtId="0" fontId="18" fillId="33" borderId="10" xfId="0" applyFont="1" applyFill="1" applyBorder="1" applyAlignment="1">
      <alignment horizontal="center" vertical="center"/>
    </xf>
    <xf numFmtId="0" fontId="18" fillId="33" borderId="27" xfId="0" applyFont="1" applyFill="1" applyBorder="1" applyAlignment="1">
      <alignment horizontal="center" vertical="center"/>
    </xf>
    <xf numFmtId="0" fontId="6" fillId="0" borderId="16" xfId="55" applyFont="1" applyBorder="1" applyAlignment="1" applyProtection="1">
      <alignment horizontal="center" vertical="center" textRotation="90" wrapText="1"/>
      <protection hidden="1"/>
    </xf>
    <xf numFmtId="0" fontId="6" fillId="0" borderId="12" xfId="55" applyFont="1" applyBorder="1" applyAlignment="1" applyProtection="1">
      <alignment horizontal="center" vertical="center" textRotation="90" wrapText="1"/>
      <protection hidden="1"/>
    </xf>
    <xf numFmtId="0" fontId="6" fillId="0" borderId="13" xfId="55" applyFont="1" applyBorder="1" applyAlignment="1" applyProtection="1">
      <alignment horizontal="center" vertical="center" textRotation="90" wrapText="1"/>
      <protection hidden="1"/>
    </xf>
    <xf numFmtId="0" fontId="6" fillId="0" borderId="16" xfId="55" applyFont="1" applyBorder="1" applyAlignment="1" applyProtection="1">
      <alignment horizontal="center" vertical="center" wrapText="1"/>
      <protection hidden="1"/>
    </xf>
    <xf numFmtId="0" fontId="6" fillId="0" borderId="12" xfId="55" applyFont="1" applyBorder="1" applyAlignment="1" applyProtection="1">
      <alignment horizontal="center" vertical="center" wrapText="1"/>
      <protection hidden="1"/>
    </xf>
    <xf numFmtId="0" fontId="6" fillId="0" borderId="13" xfId="55" applyFont="1" applyBorder="1" applyAlignment="1" applyProtection="1">
      <alignment horizontal="center" vertical="center" wrapText="1"/>
      <protection hidden="1"/>
    </xf>
    <xf numFmtId="0" fontId="6" fillId="0" borderId="11" xfId="55" applyFont="1" applyBorder="1" applyAlignment="1" applyProtection="1">
      <alignment horizontal="center" vertical="center" wrapText="1"/>
      <protection hidden="1"/>
    </xf>
    <xf numFmtId="0" fontId="6" fillId="0" borderId="16" xfId="55" applyFont="1" applyBorder="1" applyAlignment="1" applyProtection="1">
      <alignment horizontal="center" vertical="center" wrapText="1"/>
      <protection hidden="1"/>
    </xf>
    <xf numFmtId="0" fontId="9" fillId="0" borderId="13" xfId="55" applyFont="1" applyBorder="1" applyAlignment="1" applyProtection="1">
      <alignment horizontal="center" vertical="center" wrapText="1"/>
      <protection hidden="1"/>
    </xf>
    <xf numFmtId="0" fontId="9" fillId="0" borderId="11" xfId="55" applyFont="1" applyBorder="1" applyAlignment="1" applyProtection="1">
      <alignment horizontal="center" vertical="center" wrapText="1"/>
      <protection hidden="1"/>
    </xf>
    <xf numFmtId="0" fontId="7" fillId="0" borderId="28" xfId="55" applyFont="1" applyBorder="1" applyAlignment="1" applyProtection="1">
      <alignment horizontal="center" vertical="center" wrapText="1"/>
      <protection hidden="1"/>
    </xf>
    <xf numFmtId="0" fontId="7" fillId="0" borderId="23" xfId="55" applyFont="1" applyBorder="1" applyAlignment="1" applyProtection="1">
      <alignment horizontal="center" vertical="center" wrapText="1"/>
      <protection hidden="1"/>
    </xf>
    <xf numFmtId="0" fontId="7" fillId="0" borderId="29" xfId="55" applyFont="1" applyBorder="1" applyAlignment="1" applyProtection="1">
      <alignment horizontal="center" vertical="center" wrapText="1"/>
      <protection hidden="1"/>
    </xf>
    <xf numFmtId="0" fontId="57" fillId="0" borderId="0" xfId="0" applyFont="1" applyBorder="1" applyAlignment="1">
      <alignment horizontal="center" vertical="center"/>
    </xf>
    <xf numFmtId="0" fontId="32" fillId="0" borderId="0" xfId="0" applyFont="1" applyBorder="1" applyAlignment="1">
      <alignment horizontal="center" vertical="top"/>
    </xf>
    <xf numFmtId="0" fontId="32" fillId="0" borderId="0" xfId="0" applyFont="1" applyBorder="1" applyAlignment="1">
      <alignment horizontal="justify" wrapText="1"/>
    </xf>
    <xf numFmtId="0" fontId="32" fillId="0" borderId="0" xfId="0" applyFont="1" applyBorder="1" applyAlignment="1">
      <alignment horizontal="center"/>
    </xf>
    <xf numFmtId="0" fontId="32" fillId="0" borderId="0" xfId="0" applyFont="1" applyBorder="1" applyAlignment="1">
      <alignment horizontal="center" vertical="center"/>
    </xf>
    <xf numFmtId="0" fontId="67" fillId="0" borderId="0" xfId="0" applyFont="1" applyBorder="1" applyAlignment="1">
      <alignment horizontal="center" vertical="center"/>
    </xf>
    <xf numFmtId="0" fontId="57" fillId="0" borderId="0" xfId="0" applyFont="1" applyBorder="1" applyAlignment="1">
      <alignment horizontal="center" vertical="center" wrapText="1"/>
    </xf>
    <xf numFmtId="0" fontId="32" fillId="0" borderId="0" xfId="0" applyFont="1" applyBorder="1" applyAlignment="1" quotePrefix="1">
      <alignment horizontal="justify" wrapText="1"/>
    </xf>
    <xf numFmtId="0" fontId="12" fillId="0" borderId="0" xfId="56" applyFont="1" applyAlignment="1" applyProtection="1">
      <alignment horizontal="center" vertical="center"/>
      <protection hidden="1"/>
    </xf>
    <xf numFmtId="0" fontId="0" fillId="0" borderId="0" xfId="56" applyFont="1" applyAlignment="1" applyProtection="1">
      <alignment horizontal="center" vertical="center"/>
      <protection hidden="1"/>
    </xf>
    <xf numFmtId="0" fontId="2" fillId="0" borderId="0" xfId="56" applyFont="1" applyAlignment="1" applyProtection="1">
      <alignment horizontal="center" vertical="center"/>
      <protection hidden="1"/>
    </xf>
    <xf numFmtId="0" fontId="2" fillId="0" borderId="0" xfId="56" applyNumberFormat="1" applyFont="1" applyAlignment="1" applyProtection="1">
      <alignment horizontal="center" vertical="center"/>
      <protection hidden="1"/>
    </xf>
    <xf numFmtId="0" fontId="2" fillId="0" borderId="0" xfId="56" applyFont="1" applyAlignment="1" applyProtection="1">
      <alignment horizontal="center"/>
      <protection hidden="1"/>
    </xf>
    <xf numFmtId="0" fontId="23" fillId="0" borderId="0" xfId="56" applyFont="1" applyAlignment="1" applyProtection="1">
      <alignment horizontal="justify" wrapText="1"/>
      <protection locked="0"/>
    </xf>
    <xf numFmtId="0" fontId="23" fillId="0" borderId="0" xfId="56" applyFont="1" applyAlignment="1" applyProtection="1">
      <alignment horizontal="justify" wrapText="1"/>
      <protection hidden="1"/>
    </xf>
    <xf numFmtId="0" fontId="24" fillId="0" borderId="0" xfId="56" applyFont="1" applyAlignment="1" applyProtection="1">
      <alignment horizontal="justify" wrapText="1"/>
      <protection hidden="1"/>
    </xf>
    <xf numFmtId="0" fontId="23" fillId="0" borderId="0" xfId="56" applyNumberFormat="1" applyFont="1" applyAlignment="1" applyProtection="1">
      <alignment horizontal="left" wrapText="1"/>
      <protection hidden="1"/>
    </xf>
    <xf numFmtId="0" fontId="23" fillId="0" borderId="0" xfId="56" applyFont="1" applyAlignment="1" applyProtection="1">
      <alignment horizontal="left"/>
      <protection locked="0"/>
    </xf>
    <xf numFmtId="0" fontId="23" fillId="0" borderId="0" xfId="56" applyFont="1" applyAlignment="1" applyProtection="1">
      <alignment horizontal="center" wrapText="1"/>
      <protection locked="0"/>
    </xf>
    <xf numFmtId="0" fontId="68" fillId="0" borderId="0" xfId="56" applyFont="1" applyAlignment="1" applyProtection="1">
      <alignment horizontal="center" vertical="center"/>
      <protection hidden="1"/>
    </xf>
    <xf numFmtId="0" fontId="24" fillId="0" borderId="0" xfId="56" applyFont="1" applyAlignment="1" applyProtection="1">
      <alignment horizontal="center" vertical="center" wrapText="1"/>
      <protection hidden="1"/>
    </xf>
    <xf numFmtId="0" fontId="24" fillId="0" borderId="0" xfId="56" applyFont="1" applyAlignment="1" applyProtection="1">
      <alignment horizontal="center" wrapText="1"/>
      <protection hidden="1"/>
    </xf>
    <xf numFmtId="0" fontId="21" fillId="0" borderId="0" xfId="56" applyFont="1" applyAlignment="1" applyProtection="1">
      <alignment horizontal="center" vertical="center" wrapText="1"/>
      <protection hidden="1"/>
    </xf>
    <xf numFmtId="0" fontId="23" fillId="0" borderId="0" xfId="56" applyFont="1" applyBorder="1" applyAlignment="1" applyProtection="1">
      <alignment horizontal="left" vertical="center"/>
      <protection locked="0"/>
    </xf>
    <xf numFmtId="0" fontId="22" fillId="0" borderId="25" xfId="56" applyFont="1" applyBorder="1" applyAlignment="1" applyProtection="1">
      <alignment horizontal="left" vertical="center"/>
      <protection locked="0"/>
    </xf>
    <xf numFmtId="0" fontId="22" fillId="0" borderId="10" xfId="56" applyFont="1" applyBorder="1" applyAlignment="1" applyProtection="1">
      <alignment horizontal="left" vertical="center"/>
      <protection locked="0"/>
    </xf>
    <xf numFmtId="0" fontId="22" fillId="0" borderId="27" xfId="56" applyFont="1" applyBorder="1" applyAlignment="1" applyProtection="1">
      <alignment horizontal="left" vertical="center"/>
      <protection locked="0"/>
    </xf>
    <xf numFmtId="0" fontId="0" fillId="0" borderId="30" xfId="56" applyFont="1" applyBorder="1" applyAlignment="1" applyProtection="1">
      <alignment horizontal="center" vertical="center"/>
      <protection locked="0"/>
    </xf>
    <xf numFmtId="0" fontId="0" fillId="0" borderId="31" xfId="56" applyFont="1" applyBorder="1" applyAlignment="1" applyProtection="1">
      <alignment horizontal="center" vertical="center"/>
      <protection locked="0"/>
    </xf>
    <xf numFmtId="0" fontId="0" fillId="0" borderId="20" xfId="56" applyFont="1" applyBorder="1" applyAlignment="1" applyProtection="1">
      <alignment horizontal="center" vertical="center"/>
      <protection locked="0"/>
    </xf>
    <xf numFmtId="3" fontId="0" fillId="0" borderId="30" xfId="56" applyNumberFormat="1" applyFont="1" applyBorder="1" applyAlignment="1" applyProtection="1">
      <alignment horizontal="center" vertical="center"/>
      <protection locked="0"/>
    </xf>
    <xf numFmtId="3" fontId="0" fillId="0" borderId="20" xfId="56" applyNumberFormat="1" applyFont="1" applyBorder="1" applyAlignment="1" applyProtection="1">
      <alignment horizontal="center" vertical="center"/>
      <protection locked="0"/>
    </xf>
    <xf numFmtId="0" fontId="0" fillId="0" borderId="30" xfId="56" applyFont="1" applyBorder="1" applyAlignment="1" applyProtection="1">
      <alignment horizontal="center" vertical="center" wrapText="1"/>
      <protection locked="0"/>
    </xf>
    <xf numFmtId="0" fontId="0" fillId="0" borderId="20" xfId="56" applyFont="1" applyBorder="1" applyAlignment="1" applyProtection="1">
      <alignment horizontal="center" vertical="center" wrapText="1"/>
      <protection locked="0"/>
    </xf>
    <xf numFmtId="0" fontId="23" fillId="0" borderId="0" xfId="56" applyFont="1" applyAlignment="1" applyProtection="1">
      <alignment horizontal="center" vertical="center" wrapText="1"/>
      <protection locked="0"/>
    </xf>
    <xf numFmtId="0" fontId="23" fillId="0" borderId="0" xfId="56" applyFont="1" applyAlignment="1" applyProtection="1">
      <alignment horizontal="justify" vertical="center" wrapText="1"/>
      <protection locked="0"/>
    </xf>
    <xf numFmtId="0" fontId="24" fillId="0" borderId="0" xfId="56" applyFont="1" applyAlignment="1" applyProtection="1">
      <alignment horizontal="center" vertical="center" wrapText="1"/>
      <protection locked="0"/>
    </xf>
    <xf numFmtId="0" fontId="24" fillId="0" borderId="0" xfId="56" applyFont="1" applyAlignment="1" applyProtection="1">
      <alignment horizontal="center" wrapText="1"/>
      <protection locked="0"/>
    </xf>
    <xf numFmtId="0" fontId="21" fillId="0" borderId="0" xfId="56" applyFont="1" applyAlignment="1" applyProtection="1">
      <alignment horizontal="center" vertical="center" wrapText="1"/>
      <protection locked="0"/>
    </xf>
    <xf numFmtId="3" fontId="0" fillId="0" borderId="32" xfId="56" applyNumberFormat="1" applyFont="1" applyBorder="1" applyAlignment="1" applyProtection="1">
      <alignment horizontal="center" vertical="center"/>
      <protection locked="0"/>
    </xf>
    <xf numFmtId="3" fontId="0" fillId="0" borderId="17" xfId="56" applyNumberFormat="1" applyFont="1" applyBorder="1" applyAlignment="1" applyProtection="1">
      <alignment horizontal="center" vertical="center"/>
      <protection locked="0"/>
    </xf>
    <xf numFmtId="0" fontId="0" fillId="0" borderId="32" xfId="56" applyFont="1" applyBorder="1" applyAlignment="1" applyProtection="1">
      <alignment horizontal="center" vertical="center" wrapText="1"/>
      <protection locked="0"/>
    </xf>
    <xf numFmtId="0" fontId="0" fillId="0" borderId="17" xfId="56" applyFont="1" applyBorder="1" applyAlignment="1" applyProtection="1">
      <alignment horizontal="center" vertical="center" wrapText="1"/>
      <protection locked="0"/>
    </xf>
    <xf numFmtId="0" fontId="0" fillId="0" borderId="32" xfId="56" applyFont="1" applyBorder="1" applyAlignment="1" applyProtection="1">
      <alignment horizontal="center" vertical="center"/>
      <protection locked="0"/>
    </xf>
    <xf numFmtId="0" fontId="0" fillId="0" borderId="33" xfId="56" applyFont="1" applyBorder="1" applyAlignment="1" applyProtection="1">
      <alignment horizontal="center" vertical="center"/>
      <protection locked="0"/>
    </xf>
    <xf numFmtId="0" fontId="0" fillId="0" borderId="17" xfId="56" applyFont="1" applyBorder="1" applyAlignment="1" applyProtection="1">
      <alignment horizontal="center" vertical="center"/>
      <protection locked="0"/>
    </xf>
    <xf numFmtId="0" fontId="22" fillId="0" borderId="24" xfId="56" applyFont="1" applyBorder="1" applyAlignment="1" applyProtection="1">
      <alignment horizontal="left" vertical="center"/>
      <protection locked="0"/>
    </xf>
    <xf numFmtId="0" fontId="22" fillId="0" borderId="0" xfId="56" applyFont="1" applyBorder="1" applyAlignment="1" applyProtection="1">
      <alignment horizontal="left" vertical="center"/>
      <protection locked="0"/>
    </xf>
    <xf numFmtId="0" fontId="22" fillId="0" borderId="26" xfId="56" applyFont="1" applyBorder="1" applyAlignment="1" applyProtection="1">
      <alignment horizontal="left" vertical="center"/>
      <protection locked="0"/>
    </xf>
    <xf numFmtId="10" fontId="54" fillId="0" borderId="34" xfId="56" applyNumberFormat="1" applyFont="1" applyBorder="1" applyAlignment="1" applyProtection="1">
      <alignment horizontal="center" vertical="center" wrapText="1"/>
      <protection hidden="1"/>
    </xf>
    <xf numFmtId="0" fontId="54" fillId="0" borderId="35" xfId="56" applyFont="1" applyBorder="1" applyAlignment="1" applyProtection="1">
      <alignment horizontal="center" vertical="center" wrapText="1"/>
      <protection hidden="1"/>
    </xf>
    <xf numFmtId="0" fontId="24" fillId="0" borderId="0" xfId="56" applyFont="1" applyBorder="1" applyAlignment="1" applyProtection="1">
      <alignment horizontal="justify" vertical="center" wrapText="1"/>
      <protection locked="0"/>
    </xf>
    <xf numFmtId="0" fontId="23" fillId="0" borderId="0" xfId="56" applyFont="1" applyBorder="1" applyAlignment="1" applyProtection="1">
      <alignment horizontal="justify" vertical="center" wrapText="1"/>
      <protection locked="0"/>
    </xf>
    <xf numFmtId="0" fontId="54" fillId="0" borderId="28" xfId="56" applyFont="1" applyBorder="1" applyAlignment="1" applyProtection="1">
      <alignment horizontal="left" vertical="center"/>
      <protection hidden="1"/>
    </xf>
    <xf numFmtId="0" fontId="54" fillId="0" borderId="23" xfId="56" applyFont="1" applyBorder="1" applyAlignment="1" applyProtection="1">
      <alignment horizontal="left" vertical="center"/>
      <protection hidden="1"/>
    </xf>
    <xf numFmtId="0" fontId="54" fillId="0" borderId="29" xfId="56" applyFont="1" applyBorder="1" applyAlignment="1" applyProtection="1">
      <alignment horizontal="left" vertical="center"/>
      <protection hidden="1"/>
    </xf>
    <xf numFmtId="3" fontId="54" fillId="0" borderId="34" xfId="56" applyNumberFormat="1" applyFont="1" applyBorder="1" applyAlignment="1" applyProtection="1">
      <alignment horizontal="center" vertical="center"/>
      <protection hidden="1"/>
    </xf>
    <xf numFmtId="3" fontId="54" fillId="0" borderId="35" xfId="56" applyNumberFormat="1" applyFont="1" applyBorder="1" applyAlignment="1" applyProtection="1">
      <alignment horizontal="center" vertical="center"/>
      <protection hidden="1"/>
    </xf>
    <xf numFmtId="0" fontId="7" fillId="0" borderId="28" xfId="56" applyFont="1" applyBorder="1" applyAlignment="1" applyProtection="1">
      <alignment horizontal="center" vertical="center" wrapText="1"/>
      <protection locked="0"/>
    </xf>
    <xf numFmtId="0" fontId="7" fillId="0" borderId="23" xfId="56" applyFont="1" applyBorder="1" applyAlignment="1" applyProtection="1">
      <alignment horizontal="center" vertical="center" wrapText="1"/>
      <protection locked="0"/>
    </xf>
    <xf numFmtId="0" fontId="7" fillId="0" borderId="29" xfId="56" applyFont="1" applyBorder="1" applyAlignment="1" applyProtection="1">
      <alignment horizontal="center" vertical="center" wrapText="1"/>
      <protection locked="0"/>
    </xf>
    <xf numFmtId="0" fontId="13" fillId="0" borderId="36" xfId="56" applyFont="1" applyBorder="1" applyAlignment="1" applyProtection="1">
      <alignment horizontal="left" vertical="center" wrapText="1"/>
      <protection locked="0"/>
    </xf>
    <xf numFmtId="0" fontId="13" fillId="0" borderId="15" xfId="56" applyFont="1" applyBorder="1" applyAlignment="1" applyProtection="1">
      <alignment horizontal="left" vertical="center" wrapText="1"/>
      <protection locked="0"/>
    </xf>
    <xf numFmtId="0" fontId="13" fillId="0" borderId="37" xfId="56" applyFont="1" applyBorder="1" applyAlignment="1" applyProtection="1">
      <alignment horizontal="left" vertical="center" wrapText="1"/>
      <protection locked="0"/>
    </xf>
    <xf numFmtId="0" fontId="0" fillId="0" borderId="34" xfId="56" applyFont="1" applyBorder="1" applyAlignment="1" applyProtection="1">
      <alignment horizontal="center" vertical="center"/>
      <protection locked="0"/>
    </xf>
    <xf numFmtId="0" fontId="0" fillId="0" borderId="38" xfId="56" applyFont="1" applyBorder="1" applyAlignment="1" applyProtection="1">
      <alignment horizontal="center" vertical="center"/>
      <protection locked="0"/>
    </xf>
    <xf numFmtId="0" fontId="0" fillId="0" borderId="35" xfId="56" applyFont="1" applyBorder="1" applyAlignment="1" applyProtection="1">
      <alignment horizontal="center" vertical="center"/>
      <protection locked="0"/>
    </xf>
    <xf numFmtId="3" fontId="0" fillId="0" borderId="34" xfId="56" applyNumberFormat="1" applyFont="1" applyBorder="1" applyAlignment="1" applyProtection="1">
      <alignment horizontal="center" vertical="center"/>
      <protection locked="0"/>
    </xf>
    <xf numFmtId="3" fontId="0" fillId="0" borderId="35" xfId="56" applyNumberFormat="1" applyFont="1" applyBorder="1" applyAlignment="1" applyProtection="1">
      <alignment horizontal="center" vertical="center"/>
      <protection locked="0"/>
    </xf>
    <xf numFmtId="0" fontId="54" fillId="0" borderId="34" xfId="56" applyFont="1" applyBorder="1" applyAlignment="1" applyProtection="1">
      <alignment horizontal="left" vertical="center"/>
      <protection hidden="1"/>
    </xf>
    <xf numFmtId="0" fontId="54" fillId="0" borderId="38" xfId="56" applyFont="1" applyBorder="1" applyAlignment="1" applyProtection="1">
      <alignment horizontal="left" vertical="center"/>
      <protection hidden="1"/>
    </xf>
    <xf numFmtId="0" fontId="54" fillId="0" borderId="35" xfId="56" applyFont="1" applyBorder="1" applyAlignment="1" applyProtection="1">
      <alignment horizontal="left" vertical="center"/>
      <protection hidden="1"/>
    </xf>
    <xf numFmtId="0" fontId="0" fillId="0" borderId="34" xfId="56" applyFont="1" applyBorder="1" applyAlignment="1" applyProtection="1">
      <alignment horizontal="center" vertical="center" wrapText="1"/>
      <protection locked="0"/>
    </xf>
    <xf numFmtId="0" fontId="0" fillId="0" borderId="35" xfId="56" applyFont="1" applyBorder="1" applyAlignment="1" applyProtection="1">
      <alignment horizontal="center" vertical="center" wrapText="1"/>
      <protection locked="0"/>
    </xf>
    <xf numFmtId="0" fontId="22" fillId="0" borderId="28" xfId="56" applyFont="1" applyBorder="1" applyAlignment="1" applyProtection="1">
      <alignment horizontal="left" vertical="center" wrapText="1"/>
      <protection locked="0"/>
    </xf>
    <xf numFmtId="0" fontId="22" fillId="0" borderId="23" xfId="56" applyFont="1" applyBorder="1" applyAlignment="1" applyProtection="1">
      <alignment horizontal="left" vertical="center" wrapText="1"/>
      <protection locked="0"/>
    </xf>
    <xf numFmtId="0" fontId="22" fillId="0" borderId="29" xfId="56" applyFont="1" applyBorder="1" applyAlignment="1" applyProtection="1">
      <alignment horizontal="left" vertical="center" wrapText="1"/>
      <protection locked="0"/>
    </xf>
    <xf numFmtId="0" fontId="7" fillId="0" borderId="11" xfId="56" applyFont="1" applyBorder="1" applyAlignment="1" applyProtection="1">
      <alignment horizontal="center" vertical="center" wrapText="1"/>
      <protection locked="0"/>
    </xf>
    <xf numFmtId="0" fontId="7" fillId="0" borderId="16" xfId="56" applyFont="1" applyBorder="1" applyAlignment="1" applyProtection="1">
      <alignment horizontal="center" vertical="center" wrapText="1"/>
      <protection locked="0"/>
    </xf>
    <xf numFmtId="0" fontId="7" fillId="0" borderId="13" xfId="56" applyFont="1" applyBorder="1" applyAlignment="1" applyProtection="1">
      <alignment horizontal="center" vertical="center" wrapText="1"/>
      <protection locked="0"/>
    </xf>
    <xf numFmtId="0" fontId="22" fillId="0" borderId="28" xfId="56" applyFont="1" applyBorder="1" applyAlignment="1" applyProtection="1">
      <alignment vertical="center" wrapText="1"/>
      <protection locked="0"/>
    </xf>
    <xf numFmtId="0" fontId="22" fillId="0" borderId="23" xfId="56" applyFont="1" applyBorder="1" applyAlignment="1" applyProtection="1">
      <alignment vertical="center" wrapText="1"/>
      <protection locked="0"/>
    </xf>
    <xf numFmtId="0" fontId="22" fillId="0" borderId="29" xfId="56" applyFont="1" applyBorder="1" applyAlignment="1" applyProtection="1">
      <alignment vertical="center" wrapText="1"/>
      <protection locked="0"/>
    </xf>
    <xf numFmtId="0" fontId="23" fillId="0" borderId="15" xfId="56" applyFont="1" applyBorder="1" applyAlignment="1" applyProtection="1">
      <alignment horizontal="justify" vertical="center" wrapText="1"/>
      <protection locked="0"/>
    </xf>
    <xf numFmtId="0" fontId="7" fillId="0" borderId="36" xfId="56" applyFont="1" applyBorder="1" applyAlignment="1" applyProtection="1">
      <alignment horizontal="center" vertical="center" wrapText="1"/>
      <protection locked="0"/>
    </xf>
    <xf numFmtId="0" fontId="7" fillId="0" borderId="15" xfId="56" applyFont="1" applyBorder="1" applyAlignment="1" applyProtection="1">
      <alignment horizontal="center" vertical="center" wrapText="1"/>
      <protection locked="0"/>
    </xf>
    <xf numFmtId="0" fontId="7" fillId="0" borderId="37" xfId="56" applyFont="1" applyBorder="1" applyAlignment="1" applyProtection="1">
      <alignment horizontal="center" vertical="center" wrapText="1"/>
      <protection locked="0"/>
    </xf>
    <xf numFmtId="0" fontId="7" fillId="0" borderId="25" xfId="56" applyFont="1" applyBorder="1" applyAlignment="1" applyProtection="1">
      <alignment horizontal="center" vertical="center" wrapText="1"/>
      <protection locked="0"/>
    </xf>
    <xf numFmtId="0" fontId="7" fillId="0" borderId="10" xfId="56" applyFont="1" applyBorder="1" applyAlignment="1" applyProtection="1">
      <alignment horizontal="center" vertical="center" wrapText="1"/>
      <protection locked="0"/>
    </xf>
    <xf numFmtId="0" fontId="7" fillId="0" borderId="27" xfId="56" applyFont="1" applyBorder="1" applyAlignment="1" applyProtection="1">
      <alignment horizontal="center" vertical="center" wrapText="1"/>
      <protection locked="0"/>
    </xf>
    <xf numFmtId="0" fontId="53" fillId="0" borderId="0" xfId="56" applyFont="1" applyAlignment="1" applyProtection="1">
      <alignment horizontal="right" vertical="center"/>
      <protection locked="0"/>
    </xf>
    <xf numFmtId="0" fontId="2" fillId="0" borderId="0" xfId="56" applyFont="1" applyAlignment="1" applyProtection="1">
      <alignment horizontal="center" vertical="center"/>
      <protection locked="0"/>
    </xf>
    <xf numFmtId="0" fontId="2" fillId="0" borderId="0" xfId="56" applyNumberFormat="1" applyFont="1" applyAlignment="1" applyProtection="1">
      <alignment horizontal="center" vertical="center"/>
      <protection locked="0"/>
    </xf>
    <xf numFmtId="0" fontId="12" fillId="0" borderId="0" xfId="56" applyFont="1" applyAlignment="1" applyProtection="1">
      <alignment horizontal="center" vertical="top"/>
      <protection locked="0"/>
    </xf>
    <xf numFmtId="0" fontId="69" fillId="0" borderId="0" xfId="56" applyFont="1" applyAlignment="1" applyProtection="1">
      <alignment horizontal="center"/>
      <protection locked="0"/>
    </xf>
    <xf numFmtId="0" fontId="13" fillId="0" borderId="28" xfId="56" applyFont="1" applyBorder="1" applyAlignment="1" applyProtection="1">
      <alignment horizontal="center" vertical="center" wrapText="1"/>
      <protection locked="0"/>
    </xf>
    <xf numFmtId="0" fontId="13" fillId="0" borderId="23" xfId="56" applyFont="1" applyBorder="1" applyAlignment="1" applyProtection="1">
      <alignment horizontal="center" vertical="center" wrapText="1"/>
      <protection locked="0"/>
    </xf>
    <xf numFmtId="0" fontId="13" fillId="0" borderId="29" xfId="56" applyFont="1" applyBorder="1" applyAlignment="1" applyProtection="1">
      <alignment horizontal="center" vertical="center" wrapText="1"/>
      <protection locked="0"/>
    </xf>
    <xf numFmtId="0" fontId="12" fillId="0" borderId="0" xfId="56" applyFont="1" applyAlignment="1" applyProtection="1">
      <alignment horizontal="center"/>
      <protection hidden="1"/>
    </xf>
    <xf numFmtId="0" fontId="12" fillId="0" borderId="0" xfId="56" applyFont="1" applyAlignment="1" applyProtection="1">
      <alignment horizontal="center"/>
      <protection hidden="1"/>
    </xf>
    <xf numFmtId="0" fontId="12" fillId="0" borderId="0" xfId="56" applyFont="1" applyAlignment="1" applyProtection="1">
      <alignment horizontal="center"/>
      <protection hidden="1" locked="0"/>
    </xf>
    <xf numFmtId="0" fontId="25" fillId="0" borderId="0" xfId="56" applyFont="1" applyAlignment="1" applyProtection="1" quotePrefix="1">
      <alignment horizontal="center"/>
      <protection hidden="1" locked="0"/>
    </xf>
    <xf numFmtId="0" fontId="24" fillId="0" borderId="0" xfId="56" applyFont="1" applyAlignment="1" applyProtection="1">
      <alignment horizontal="center"/>
      <protection hidden="1" locked="0"/>
    </xf>
    <xf numFmtId="0" fontId="13" fillId="0" borderId="16" xfId="56" applyFont="1" applyBorder="1" applyAlignment="1" applyProtection="1">
      <alignment horizontal="center" vertical="center" wrapText="1"/>
      <protection hidden="1"/>
    </xf>
    <xf numFmtId="0" fontId="13" fillId="0" borderId="13" xfId="56" applyFont="1" applyBorder="1" applyAlignment="1" applyProtection="1">
      <alignment horizontal="center" vertical="center" wrapText="1"/>
      <protection hidden="1"/>
    </xf>
    <xf numFmtId="0" fontId="13" fillId="0" borderId="11" xfId="56" applyFont="1" applyBorder="1" applyAlignment="1" applyProtection="1">
      <alignment horizontal="center"/>
      <protection hidden="1"/>
    </xf>
    <xf numFmtId="0" fontId="50" fillId="0" borderId="18" xfId="56" applyFont="1" applyBorder="1" applyAlignment="1">
      <alignment horizontal="center"/>
      <protection/>
    </xf>
    <xf numFmtId="0" fontId="70" fillId="0" borderId="22" xfId="56" applyFont="1" applyBorder="1" applyAlignment="1">
      <alignment horizontal="center"/>
      <protection/>
    </xf>
    <xf numFmtId="2" fontId="50" fillId="0" borderId="18" xfId="56" applyNumberFormat="1" applyFont="1" applyBorder="1" applyAlignment="1">
      <alignment horizontal="center"/>
      <protection/>
    </xf>
    <xf numFmtId="2" fontId="70" fillId="0" borderId="22" xfId="56" applyNumberFormat="1" applyFont="1" applyBorder="1" applyAlignment="1">
      <alignment horizontal="center"/>
      <protection/>
    </xf>
    <xf numFmtId="0" fontId="50" fillId="0" borderId="18" xfId="56" applyFont="1" applyBorder="1" applyAlignment="1">
      <alignment horizontal="left" indent="1"/>
      <protection/>
    </xf>
    <xf numFmtId="0" fontId="50" fillId="0" borderId="21" xfId="56" applyFont="1" applyBorder="1" applyAlignment="1">
      <alignment horizontal="center"/>
      <protection/>
    </xf>
    <xf numFmtId="0" fontId="50" fillId="0" borderId="22" xfId="56" applyFont="1" applyBorder="1" applyAlignment="1">
      <alignment horizontal="center"/>
      <protection/>
    </xf>
    <xf numFmtId="0" fontId="50" fillId="0" borderId="22" xfId="56" applyFont="1" applyBorder="1" applyAlignment="1">
      <alignment horizontal="left" indent="1"/>
      <protection/>
    </xf>
    <xf numFmtId="0" fontId="50" fillId="0" borderId="11" xfId="56" applyFont="1" applyBorder="1" applyAlignment="1">
      <alignment horizontal="center" vertical="center" wrapText="1"/>
      <protection/>
    </xf>
    <xf numFmtId="0" fontId="50" fillId="0" borderId="21" xfId="56" applyFont="1" applyBorder="1" applyAlignment="1">
      <alignment horizontal="left" indent="1"/>
      <protection/>
    </xf>
    <xf numFmtId="0" fontId="50" fillId="0" borderId="30" xfId="56" applyFont="1" applyBorder="1" applyAlignment="1">
      <alignment horizontal="center"/>
      <protection/>
    </xf>
    <xf numFmtId="0" fontId="50" fillId="0" borderId="31" xfId="56" applyFont="1" applyBorder="1" applyAlignment="1">
      <alignment horizontal="center"/>
      <protection/>
    </xf>
    <xf numFmtId="0" fontId="50" fillId="0" borderId="20" xfId="56" applyFont="1" applyBorder="1" applyAlignment="1">
      <alignment horizontal="center"/>
      <protection/>
    </xf>
    <xf numFmtId="2" fontId="50" fillId="0" borderId="21" xfId="56" applyNumberFormat="1" applyFont="1" applyBorder="1" applyAlignment="1">
      <alignment horizontal="center"/>
      <protection/>
    </xf>
    <xf numFmtId="0" fontId="70" fillId="0" borderId="32" xfId="56" applyFont="1" applyBorder="1" applyAlignment="1">
      <alignment horizontal="center"/>
      <protection/>
    </xf>
    <xf numFmtId="0" fontId="70" fillId="0" borderId="33" xfId="56" applyFont="1" applyBorder="1" applyAlignment="1">
      <alignment horizontal="center"/>
      <protection/>
    </xf>
    <xf numFmtId="0" fontId="70" fillId="0" borderId="17" xfId="56" applyFont="1" applyBorder="1" applyAlignment="1">
      <alignment horizontal="center"/>
      <protection/>
    </xf>
    <xf numFmtId="2" fontId="70" fillId="0" borderId="32" xfId="56" applyNumberFormat="1" applyFont="1" applyBorder="1" applyAlignment="1">
      <alignment horizontal="center"/>
      <protection/>
    </xf>
    <xf numFmtId="2" fontId="70" fillId="0" borderId="33" xfId="56" applyNumberFormat="1" applyFont="1" applyBorder="1" applyAlignment="1">
      <alignment horizontal="center"/>
      <protection/>
    </xf>
    <xf numFmtId="2" fontId="70" fillId="0" borderId="17" xfId="56" applyNumberFormat="1" applyFont="1" applyBorder="1" applyAlignment="1">
      <alignment horizontal="center"/>
      <protection/>
    </xf>
    <xf numFmtId="0" fontId="50" fillId="0" borderId="30" xfId="56" applyFont="1" applyBorder="1" applyAlignment="1">
      <alignment horizontal="left"/>
      <protection/>
    </xf>
    <xf numFmtId="0" fontId="50" fillId="0" borderId="31" xfId="56" applyFont="1" applyBorder="1" applyAlignment="1">
      <alignment horizontal="left"/>
      <protection/>
    </xf>
    <xf numFmtId="0" fontId="50" fillId="0" borderId="20" xfId="56" applyFont="1" applyBorder="1" applyAlignment="1">
      <alignment horizontal="left"/>
      <protection/>
    </xf>
    <xf numFmtId="0" fontId="50" fillId="0" borderId="34" xfId="56" applyFont="1" applyBorder="1" applyAlignment="1">
      <alignment horizontal="center"/>
      <protection/>
    </xf>
    <xf numFmtId="0" fontId="50" fillId="0" borderId="38" xfId="56" applyFont="1" applyBorder="1" applyAlignment="1">
      <alignment horizontal="center"/>
      <protection/>
    </xf>
    <xf numFmtId="0" fontId="50" fillId="0" borderId="35" xfId="56" applyFont="1" applyBorder="1" applyAlignment="1">
      <alignment horizontal="center"/>
      <protection/>
    </xf>
    <xf numFmtId="0" fontId="50" fillId="0" borderId="32" xfId="56" applyFont="1" applyBorder="1" applyAlignment="1">
      <alignment horizontal="left"/>
      <protection/>
    </xf>
    <xf numFmtId="0" fontId="50" fillId="0" borderId="33" xfId="56" applyFont="1" applyBorder="1" applyAlignment="1">
      <alignment horizontal="left"/>
      <protection/>
    </xf>
    <xf numFmtId="0" fontId="50" fillId="0" borderId="17" xfId="56" applyFont="1" applyBorder="1" applyAlignment="1">
      <alignment horizontal="left"/>
      <protection/>
    </xf>
    <xf numFmtId="0" fontId="60" fillId="0" borderId="11" xfId="56" applyFont="1" applyBorder="1" applyAlignment="1">
      <alignment horizontal="center" vertical="center" wrapText="1"/>
      <protection/>
    </xf>
    <xf numFmtId="0" fontId="50" fillId="0" borderId="34" xfId="56" applyFont="1" applyBorder="1" applyAlignment="1">
      <alignment horizontal="left"/>
      <protection/>
    </xf>
    <xf numFmtId="0" fontId="50" fillId="0" borderId="38" xfId="56" applyFont="1" applyBorder="1" applyAlignment="1">
      <alignment horizontal="left"/>
      <protection/>
    </xf>
    <xf numFmtId="0" fontId="50" fillId="0" borderId="35" xfId="56" applyFont="1" applyBorder="1" applyAlignment="1">
      <alignment horizontal="left"/>
      <protection/>
    </xf>
    <xf numFmtId="0" fontId="60" fillId="0" borderId="24" xfId="56" applyFont="1" applyBorder="1" applyAlignment="1">
      <alignment horizontal="center" vertical="center" wrapText="1"/>
      <protection/>
    </xf>
    <xf numFmtId="0" fontId="60" fillId="0" borderId="0" xfId="56" applyFont="1" applyBorder="1" applyAlignment="1">
      <alignment horizontal="center" vertical="center" wrapText="1"/>
      <protection/>
    </xf>
    <xf numFmtId="0" fontId="50" fillId="0" borderId="28" xfId="56" applyFont="1" applyBorder="1" applyAlignment="1">
      <alignment horizontal="center" vertical="center" wrapText="1"/>
      <protection/>
    </xf>
    <xf numFmtId="0" fontId="50" fillId="0" borderId="23" xfId="56" applyFont="1" applyBorder="1" applyAlignment="1">
      <alignment horizontal="center" vertical="center" wrapText="1"/>
      <protection/>
    </xf>
    <xf numFmtId="0" fontId="50" fillId="0" borderId="29" xfId="56" applyFont="1" applyBorder="1" applyAlignment="1">
      <alignment horizontal="center" vertical="center" wrapText="1"/>
      <protection/>
    </xf>
    <xf numFmtId="0" fontId="50" fillId="0" borderId="16" xfId="56" applyFont="1" applyBorder="1" applyAlignment="1">
      <alignment horizontal="center" vertical="center" wrapText="1"/>
      <protection/>
    </xf>
    <xf numFmtId="0" fontId="50" fillId="0" borderId="13" xfId="56" applyFont="1" applyBorder="1" applyAlignment="1">
      <alignment horizontal="center" vertical="center" wrapText="1"/>
      <protection/>
    </xf>
    <xf numFmtId="2" fontId="59" fillId="0" borderId="11" xfId="56" applyNumberFormat="1" applyFont="1" applyBorder="1" applyAlignment="1">
      <alignment horizontal="center" vertical="center" wrapText="1"/>
      <protection/>
    </xf>
    <xf numFmtId="0" fontId="59" fillId="0" borderId="11" xfId="56" applyFont="1" applyBorder="1" applyAlignment="1">
      <alignment horizontal="center" vertical="center" wrapText="1"/>
      <protection/>
    </xf>
    <xf numFmtId="0" fontId="50" fillId="0" borderId="30" xfId="56" applyFont="1" applyBorder="1" applyAlignment="1">
      <alignment horizontal="center" vertical="center" wrapText="1"/>
      <protection/>
    </xf>
    <xf numFmtId="0" fontId="50" fillId="0" borderId="31" xfId="56" applyFont="1" applyBorder="1" applyAlignment="1">
      <alignment horizontal="center" vertical="center" wrapText="1"/>
      <protection/>
    </xf>
    <xf numFmtId="0" fontId="50" fillId="0" borderId="20" xfId="56" applyFont="1" applyBorder="1" applyAlignment="1">
      <alignment horizontal="center" vertical="center" wrapText="1"/>
      <protection/>
    </xf>
    <xf numFmtId="0" fontId="59" fillId="0" borderId="11" xfId="56" applyFont="1" applyBorder="1" applyAlignment="1">
      <alignment vertical="center" wrapText="1"/>
      <protection/>
    </xf>
    <xf numFmtId="2" fontId="70" fillId="0" borderId="32" xfId="56" applyNumberFormat="1" applyFont="1" applyBorder="1" applyAlignment="1">
      <alignment horizontal="center" vertical="center" wrapText="1"/>
      <protection/>
    </xf>
    <xf numFmtId="2" fontId="70" fillId="0" borderId="33" xfId="56" applyNumberFormat="1" applyFont="1" applyBorder="1" applyAlignment="1">
      <alignment horizontal="center" vertical="center" wrapText="1"/>
      <protection/>
    </xf>
    <xf numFmtId="2" fontId="70" fillId="0" borderId="17" xfId="56" applyNumberFormat="1" applyFont="1" applyBorder="1" applyAlignment="1">
      <alignment horizontal="center" vertical="center" wrapText="1"/>
      <protection/>
    </xf>
    <xf numFmtId="0" fontId="50" fillId="0" borderId="18" xfId="56" applyFont="1" applyBorder="1" applyAlignment="1">
      <alignment horizontal="center" vertical="top" wrapText="1"/>
      <protection/>
    </xf>
    <xf numFmtId="0" fontId="50" fillId="0" borderId="30" xfId="56" applyFont="1" applyBorder="1" applyAlignment="1">
      <alignment vertical="top" wrapText="1"/>
      <protection/>
    </xf>
    <xf numFmtId="0" fontId="50" fillId="0" borderId="31" xfId="56" applyFont="1" applyBorder="1" applyAlignment="1">
      <alignment vertical="top" wrapText="1"/>
      <protection/>
    </xf>
    <xf numFmtId="0" fontId="50" fillId="0" borderId="20" xfId="56" applyFont="1" applyBorder="1" applyAlignment="1">
      <alignment vertical="top" wrapText="1"/>
      <protection/>
    </xf>
    <xf numFmtId="0" fontId="50" fillId="0" borderId="32" xfId="56" applyFont="1" applyBorder="1" applyAlignment="1">
      <alignment horizontal="center" vertical="center" wrapText="1"/>
      <protection/>
    </xf>
    <xf numFmtId="0" fontId="50" fillId="0" borderId="33" xfId="56" applyFont="1" applyBorder="1" applyAlignment="1">
      <alignment horizontal="center" vertical="center" wrapText="1"/>
      <protection/>
    </xf>
    <xf numFmtId="0" fontId="50" fillId="0" borderId="17" xfId="56" applyFont="1" applyBorder="1" applyAlignment="1">
      <alignment horizontal="center" vertical="center" wrapText="1"/>
      <protection/>
    </xf>
    <xf numFmtId="0" fontId="70" fillId="0" borderId="32" xfId="56" applyFont="1" applyBorder="1" applyAlignment="1">
      <alignment horizontal="center" vertical="center" wrapText="1"/>
      <protection/>
    </xf>
    <xf numFmtId="0" fontId="70" fillId="0" borderId="33" xfId="56" applyFont="1" applyBorder="1" applyAlignment="1">
      <alignment horizontal="center" vertical="center" wrapText="1"/>
      <protection/>
    </xf>
    <xf numFmtId="0" fontId="70" fillId="0" borderId="17" xfId="56" applyFont="1" applyBorder="1" applyAlignment="1">
      <alignment horizontal="center" vertical="center" wrapText="1"/>
      <protection/>
    </xf>
    <xf numFmtId="0" fontId="50" fillId="0" borderId="22" xfId="56" applyFont="1" applyBorder="1" applyAlignment="1">
      <alignment horizontal="center" vertical="top" wrapText="1"/>
      <protection/>
    </xf>
    <xf numFmtId="0" fontId="50" fillId="0" borderId="32" xfId="56" applyFont="1" applyBorder="1" applyAlignment="1">
      <alignment vertical="top" wrapText="1"/>
      <protection/>
    </xf>
    <xf numFmtId="0" fontId="50" fillId="0" borderId="33" xfId="56" applyFont="1" applyBorder="1" applyAlignment="1">
      <alignment vertical="top" wrapText="1"/>
      <protection/>
    </xf>
    <xf numFmtId="0" fontId="50" fillId="0" borderId="17" xfId="56" applyFont="1" applyBorder="1" applyAlignment="1">
      <alignment vertical="top" wrapText="1"/>
      <protection/>
    </xf>
    <xf numFmtId="0" fontId="50" fillId="0" borderId="34" xfId="56" applyFont="1" applyBorder="1" applyAlignment="1">
      <alignment horizontal="center" vertical="center" wrapText="1"/>
      <protection/>
    </xf>
    <xf numFmtId="0" fontId="50" fillId="0" borderId="38" xfId="56" applyFont="1" applyBorder="1" applyAlignment="1">
      <alignment horizontal="center" vertical="center" wrapText="1"/>
      <protection/>
    </xf>
    <xf numFmtId="0" fontId="50" fillId="0" borderId="35" xfId="56" applyFont="1" applyBorder="1" applyAlignment="1">
      <alignment horizontal="center" vertical="center" wrapText="1"/>
      <protection/>
    </xf>
    <xf numFmtId="0" fontId="50" fillId="0" borderId="21" xfId="56" applyFont="1" applyBorder="1" applyAlignment="1">
      <alignment horizontal="center" vertical="top" wrapText="1"/>
      <protection/>
    </xf>
    <xf numFmtId="0" fontId="50" fillId="0" borderId="34" xfId="56" applyFont="1" applyBorder="1" applyAlignment="1">
      <alignment vertical="top" wrapText="1"/>
      <protection/>
    </xf>
    <xf numFmtId="0" fontId="50" fillId="0" borderId="38" xfId="56" applyFont="1" applyBorder="1" applyAlignment="1">
      <alignment vertical="top" wrapText="1"/>
      <protection/>
    </xf>
    <xf numFmtId="0" fontId="50" fillId="0" borderId="35" xfId="56" applyFont="1" applyBorder="1" applyAlignment="1">
      <alignment vertical="top" wrapText="1"/>
      <protection/>
    </xf>
    <xf numFmtId="0" fontId="37" fillId="0" borderId="0" xfId="56" applyFont="1" applyAlignment="1" applyProtection="1" quotePrefix="1">
      <alignment horizontal="center"/>
      <protection locked="0"/>
    </xf>
    <xf numFmtId="0" fontId="12" fillId="0" borderId="0" xfId="56" applyFont="1" applyAlignment="1" applyProtection="1">
      <alignment horizontal="center" wrapText="1"/>
      <protection locked="0"/>
    </xf>
    <xf numFmtId="0" fontId="13" fillId="0" borderId="0" xfId="56" applyFont="1" applyAlignment="1" applyProtection="1">
      <alignment horizontal="center"/>
      <protection locked="0"/>
    </xf>
    <xf numFmtId="0" fontId="57" fillId="0" borderId="0" xfId="55" applyFont="1" applyAlignment="1" applyProtection="1">
      <alignment horizontal="center" vertical="center"/>
      <protection hidden="1" locked="0"/>
    </xf>
    <xf numFmtId="0" fontId="32" fillId="0" borderId="0" xfId="55" applyFont="1" applyAlignment="1" applyProtection="1">
      <alignment horizontal="center" vertical="center"/>
      <protection hidden="1" locked="0"/>
    </xf>
    <xf numFmtId="0" fontId="4" fillId="0" borderId="0" xfId="55" applyFont="1" applyAlignment="1" applyProtection="1">
      <alignment horizontal="center"/>
      <protection hidden="1" locked="0"/>
    </xf>
    <xf numFmtId="0" fontId="56" fillId="0" borderId="0" xfId="55" applyFont="1" applyAlignment="1" applyProtection="1">
      <alignment horizontal="center" vertical="center"/>
      <protection hidden="1" locked="0"/>
    </xf>
    <xf numFmtId="0" fontId="56" fillId="0" borderId="0" xfId="55" applyFont="1" applyAlignment="1" applyProtection="1">
      <alignment horizontal="center" vertical="top"/>
      <protection hidden="1" locked="0"/>
    </xf>
    <xf numFmtId="0" fontId="32" fillId="0" borderId="0" xfId="55" applyFont="1" applyAlignment="1" applyProtection="1">
      <alignment horizontal="justify" wrapText="1"/>
      <protection hidden="1" locked="0"/>
    </xf>
    <xf numFmtId="0" fontId="56" fillId="0" borderId="0" xfId="55" applyFont="1" applyAlignment="1" applyProtection="1">
      <alignment horizontal="center"/>
      <protection hidden="1" locked="0"/>
    </xf>
    <xf numFmtId="0" fontId="67" fillId="0" borderId="0" xfId="55" applyFont="1" applyAlignment="1" applyProtection="1">
      <alignment horizontal="center" vertical="center"/>
      <protection hidden="1"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Percent 2" xfId="60"/>
    <cellStyle name="Title" xfId="61"/>
    <cellStyle name="Total" xfId="62"/>
    <cellStyle name="Warning Text" xfId="63"/>
  </cellStyles>
  <dxfs count="27">
    <dxf>
      <border>
        <left style="thin"/>
        <right style="thin"/>
        <top style="hair"/>
        <bottom style="hair"/>
      </border>
    </dxf>
    <dxf>
      <font>
        <b/>
        <i val="0"/>
      </font>
      <border>
        <left style="thin"/>
        <right style="thin"/>
        <top style="thin"/>
        <bottom style="thin"/>
      </border>
    </dxf>
    <dxf>
      <border>
        <left style="thin">
          <color indexed="63"/>
        </left>
        <right style="thin">
          <color indexed="63"/>
        </right>
        <top style="hair">
          <color indexed="63"/>
        </top>
        <bottom style="hair">
          <color indexed="63"/>
        </bottom>
      </border>
    </dxf>
    <dxf>
      <border>
        <left style="thin"/>
        <right style="thin"/>
        <top style="hair"/>
        <bottom style="hair"/>
      </border>
    </dxf>
    <dxf>
      <border>
        <left style="thin"/>
        <right style="thin"/>
        <top style="thin"/>
        <bottom style="thin"/>
      </border>
    </dxf>
    <dxf>
      <font>
        <b/>
        <i val="0"/>
      </font>
      <border>
        <left style="thin"/>
        <right style="thin"/>
        <top style="thin"/>
        <bottom style="thin"/>
      </border>
    </dxf>
    <dxf>
      <fill>
        <patternFill>
          <bgColor rgb="FFFF0000"/>
        </patternFill>
      </fill>
    </dxf>
    <dxf>
      <border>
        <left style="thin"/>
        <right style="thin"/>
        <top style="hair"/>
        <bottom style="hair"/>
      </border>
    </dxf>
    <dxf>
      <font>
        <b/>
        <i val="0"/>
      </font>
      <border>
        <left style="thin"/>
        <right style="thin"/>
        <top style="thin"/>
        <bottom style="thin"/>
      </border>
    </dxf>
    <dxf>
      <fill>
        <patternFill>
          <bgColor theme="0"/>
        </patternFill>
      </fill>
      <border>
        <left style="thin"/>
        <right style="thin"/>
        <top style="hair"/>
        <bottom style="hair"/>
      </border>
    </dxf>
    <dxf>
      <fill>
        <patternFill>
          <bgColor theme="0"/>
        </patternFill>
      </fill>
      <border>
        <left style="thin"/>
        <right style="thin"/>
        <bottom style="thin"/>
      </border>
    </dxf>
    <dxf>
      <fill>
        <patternFill>
          <bgColor rgb="FFFF0000"/>
        </patternFill>
      </fill>
    </dxf>
    <dxf>
      <border>
        <left style="thin"/>
        <right style="thin"/>
        <top style="thin"/>
        <bottom style="thin"/>
      </border>
    </dxf>
    <dxf>
      <border>
        <left style="thin"/>
        <right style="thin"/>
        <top style="thin"/>
        <bottom style="thin"/>
      </border>
    </dxf>
    <dxf>
      <fill>
        <patternFill>
          <bgColor theme="2" tint="-0.09994000196456909"/>
        </patternFill>
      </fill>
      <border>
        <left style="thin"/>
        <right style="thin"/>
        <top style="hair"/>
        <bottom style="hair"/>
      </border>
    </dxf>
    <dxf>
      <fill>
        <patternFill>
          <bgColor theme="4" tint="0.5999600291252136"/>
        </patternFill>
      </fill>
      <border>
        <left style="thin"/>
        <right style="thin"/>
        <top style="hair"/>
        <bottom style="hair"/>
      </border>
    </dxf>
    <dxf>
      <fill>
        <patternFill>
          <bgColor rgb="FFFFFF00"/>
        </patternFill>
      </fill>
    </dxf>
    <dxf>
      <fill>
        <patternFill>
          <bgColor theme="9" tint="0.5999600291252136"/>
        </patternFill>
      </fill>
      <border>
        <left style="thin"/>
        <right style="thin"/>
        <top style="hair"/>
        <bottom style="hair"/>
      </border>
    </dxf>
    <dxf>
      <fill>
        <patternFill>
          <bgColor theme="9" tint="0.5999600291252136"/>
        </patternFill>
      </fill>
      <border>
        <left style="thin">
          <color rgb="FF000000"/>
        </left>
        <right style="thin">
          <color rgb="FF000000"/>
        </right>
        <top style="hair"/>
        <bottom style="hair">
          <color rgb="FF000000"/>
        </bottom>
      </border>
    </dxf>
    <dxf>
      <fill>
        <patternFill>
          <bgColor theme="4" tint="0.5999600291252136"/>
        </patternFill>
      </fill>
      <border>
        <left style="thin">
          <color rgb="FF000000"/>
        </left>
        <right style="thin">
          <color rgb="FF000000"/>
        </right>
        <top style="hair"/>
        <bottom style="hair">
          <color rgb="FF000000"/>
        </bottom>
      </border>
    </dxf>
    <dxf>
      <fill>
        <patternFill>
          <bgColor theme="2" tint="-0.09994000196456909"/>
        </patternFill>
      </fill>
      <border>
        <left style="thin">
          <color rgb="FF000000"/>
        </left>
        <right style="thin">
          <color rgb="FF000000"/>
        </right>
        <top style="hair"/>
        <bottom style="hair">
          <color rgb="FF000000"/>
        </bottom>
      </border>
    </dxf>
    <dxf>
      <border>
        <left style="thin">
          <color rgb="FF000000"/>
        </left>
        <right style="thin">
          <color rgb="FF000000"/>
        </right>
        <top style="thin"/>
        <bottom style="thin">
          <color rgb="FF000000"/>
        </bottom>
      </border>
    </dxf>
    <dxf>
      <fill>
        <patternFill>
          <bgColor theme="0"/>
        </patternFill>
      </fill>
      <border>
        <left style="thin">
          <color rgb="FF000000"/>
        </left>
        <right style="thin">
          <color rgb="FF000000"/>
        </right>
        <bottom style="thin">
          <color rgb="FF000000"/>
        </bottom>
      </border>
    </dxf>
    <dxf>
      <fill>
        <patternFill>
          <bgColor theme="0"/>
        </patternFill>
      </fill>
      <border>
        <left style="thin">
          <color rgb="FF000000"/>
        </left>
        <right style="thin">
          <color rgb="FF000000"/>
        </right>
        <top style="hair"/>
        <bottom style="hair">
          <color rgb="FF000000"/>
        </bottom>
      </border>
    </dxf>
    <dxf>
      <font>
        <b/>
        <i val="0"/>
      </font>
      <border>
        <left style="thin">
          <color rgb="FF000000"/>
        </left>
        <right style="thin">
          <color rgb="FF000000"/>
        </right>
        <top style="thin"/>
        <bottom style="thin">
          <color rgb="FF000000"/>
        </bottom>
      </border>
    </dxf>
    <dxf>
      <border>
        <left style="thin">
          <color rgb="FF000000"/>
        </left>
        <right style="thin">
          <color rgb="FF000000"/>
        </right>
        <top style="hair"/>
        <bottom style="hair">
          <color rgb="FF000000"/>
        </bottom>
      </border>
    </dxf>
    <dxf>
      <border>
        <left style="thin">
          <color rgb="FF000000"/>
        </left>
        <right style="thin">
          <color rgb="FF000000"/>
        </right>
        <top style="hair">
          <color rgb="FF000000"/>
        </top>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2314575</xdr:colOff>
      <xdr:row>4</xdr:row>
      <xdr:rowOff>66675</xdr:rowOff>
    </xdr:from>
    <xdr:to>
      <xdr:col>3</xdr:col>
      <xdr:colOff>2362200</xdr:colOff>
      <xdr:row>4</xdr:row>
      <xdr:rowOff>66675</xdr:rowOff>
    </xdr:to>
    <xdr:sp>
      <xdr:nvSpPr>
        <xdr:cNvPr id="1" name="Line 1"/>
        <xdr:cNvSpPr>
          <a:spLocks/>
        </xdr:cNvSpPr>
      </xdr:nvSpPr>
      <xdr:spPr>
        <a:xfrm>
          <a:off x="5076825" y="10191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7</xdr:row>
      <xdr:rowOff>209550</xdr:rowOff>
    </xdr:from>
    <xdr:to>
      <xdr:col>5</xdr:col>
      <xdr:colOff>619125</xdr:colOff>
      <xdr:row>7</xdr:row>
      <xdr:rowOff>209550</xdr:rowOff>
    </xdr:to>
    <xdr:sp>
      <xdr:nvSpPr>
        <xdr:cNvPr id="1" name="Line 1"/>
        <xdr:cNvSpPr>
          <a:spLocks/>
        </xdr:cNvSpPr>
      </xdr:nvSpPr>
      <xdr:spPr>
        <a:xfrm>
          <a:off x="2762250" y="1590675"/>
          <a:ext cx="15240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209550</xdr:colOff>
      <xdr:row>3</xdr:row>
      <xdr:rowOff>209550</xdr:rowOff>
    </xdr:from>
    <xdr:to>
      <xdr:col>7</xdr:col>
      <xdr:colOff>342900</xdr:colOff>
      <xdr:row>3</xdr:row>
      <xdr:rowOff>209550</xdr:rowOff>
    </xdr:to>
    <xdr:sp>
      <xdr:nvSpPr>
        <xdr:cNvPr id="2" name="Line 2"/>
        <xdr:cNvSpPr>
          <a:spLocks/>
        </xdr:cNvSpPr>
      </xdr:nvSpPr>
      <xdr:spPr>
        <a:xfrm>
          <a:off x="3876675" y="723900"/>
          <a:ext cx="2076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8</xdr:col>
      <xdr:colOff>228600</xdr:colOff>
      <xdr:row>0</xdr:row>
      <xdr:rowOff>133350</xdr:rowOff>
    </xdr:from>
    <xdr:to>
      <xdr:col>8</xdr:col>
      <xdr:colOff>495300</xdr:colOff>
      <xdr:row>5</xdr:row>
      <xdr:rowOff>114300</xdr:rowOff>
    </xdr:to>
    <xdr:sp macro="[0]!MenuChinh">
      <xdr:nvSpPr>
        <xdr:cNvPr id="3" name="Right Arrow 3"/>
        <xdr:cNvSpPr>
          <a:spLocks/>
        </xdr:cNvSpPr>
      </xdr:nvSpPr>
      <xdr:spPr>
        <a:xfrm>
          <a:off x="6657975" y="133350"/>
          <a:ext cx="266700" cy="914400"/>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13</xdr:row>
      <xdr:rowOff>28575</xdr:rowOff>
    </xdr:from>
    <xdr:to>
      <xdr:col>11</xdr:col>
      <xdr:colOff>352425</xdr:colOff>
      <xdr:row>13</xdr:row>
      <xdr:rowOff>28575</xdr:rowOff>
    </xdr:to>
    <xdr:sp>
      <xdr:nvSpPr>
        <xdr:cNvPr id="1" name="Straight Connector 38"/>
        <xdr:cNvSpPr>
          <a:spLocks/>
        </xdr:cNvSpPr>
      </xdr:nvSpPr>
      <xdr:spPr>
        <a:xfrm>
          <a:off x="7038975" y="3190875"/>
          <a:ext cx="676275" cy="0"/>
        </a:xfrm>
        <a:prstGeom prst="line">
          <a:avLst/>
        </a:prstGeom>
        <a:solidFill>
          <a:srgbClr val="FFFFFF"/>
        </a:solidFill>
        <a:ln w="12700" cmpd="sng">
          <a:solidFill>
            <a:srgbClr val="ED7D31"/>
          </a:solidFill>
          <a:headEnd type="triangl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238125</xdr:colOff>
      <xdr:row>5</xdr:row>
      <xdr:rowOff>104775</xdr:rowOff>
    </xdr:from>
    <xdr:to>
      <xdr:col>10</xdr:col>
      <xdr:colOff>304800</xdr:colOff>
      <xdr:row>5</xdr:row>
      <xdr:rowOff>104775</xdr:rowOff>
    </xdr:to>
    <xdr:sp>
      <xdr:nvSpPr>
        <xdr:cNvPr id="2" name="Straight Connector 40"/>
        <xdr:cNvSpPr>
          <a:spLocks/>
        </xdr:cNvSpPr>
      </xdr:nvSpPr>
      <xdr:spPr>
        <a:xfrm>
          <a:off x="6229350" y="1485900"/>
          <a:ext cx="752475" cy="0"/>
        </a:xfrm>
        <a:prstGeom prst="line">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247650</xdr:colOff>
      <xdr:row>3</xdr:row>
      <xdr:rowOff>123825</xdr:rowOff>
    </xdr:from>
    <xdr:to>
      <xdr:col>10</xdr:col>
      <xdr:colOff>314325</xdr:colOff>
      <xdr:row>3</xdr:row>
      <xdr:rowOff>123825</xdr:rowOff>
    </xdr:to>
    <xdr:sp>
      <xdr:nvSpPr>
        <xdr:cNvPr id="3" name="Straight Connector 41"/>
        <xdr:cNvSpPr>
          <a:spLocks/>
        </xdr:cNvSpPr>
      </xdr:nvSpPr>
      <xdr:spPr>
        <a:xfrm>
          <a:off x="6238875" y="1104900"/>
          <a:ext cx="752475" cy="0"/>
        </a:xfrm>
        <a:prstGeom prst="line">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266700</xdr:colOff>
      <xdr:row>17</xdr:row>
      <xdr:rowOff>142875</xdr:rowOff>
    </xdr:from>
    <xdr:to>
      <xdr:col>10</xdr:col>
      <xdr:colOff>333375</xdr:colOff>
      <xdr:row>17</xdr:row>
      <xdr:rowOff>142875</xdr:rowOff>
    </xdr:to>
    <xdr:sp>
      <xdr:nvSpPr>
        <xdr:cNvPr id="4" name="Straight Connector 37"/>
        <xdr:cNvSpPr>
          <a:spLocks/>
        </xdr:cNvSpPr>
      </xdr:nvSpPr>
      <xdr:spPr>
        <a:xfrm flipV="1">
          <a:off x="6257925" y="4162425"/>
          <a:ext cx="752475" cy="0"/>
        </a:xfrm>
        <a:prstGeom prst="line">
          <a:avLst/>
        </a:prstGeom>
        <a:solidFill>
          <a:srgbClr val="FFFFFF"/>
        </a:solidFill>
        <a:ln w="12700" cmpd="sng">
          <a:solidFill>
            <a:srgbClr val="ED7D31"/>
          </a:solidFill>
          <a:headEnd type="triangl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19050</xdr:colOff>
      <xdr:row>3</xdr:row>
      <xdr:rowOff>123825</xdr:rowOff>
    </xdr:from>
    <xdr:to>
      <xdr:col>6</xdr:col>
      <xdr:colOff>438150</xdr:colOff>
      <xdr:row>4</xdr:row>
      <xdr:rowOff>104775</xdr:rowOff>
    </xdr:to>
    <xdr:sp>
      <xdr:nvSpPr>
        <xdr:cNvPr id="5" name="Straight Arrow Connector 2"/>
        <xdr:cNvSpPr>
          <a:spLocks/>
        </xdr:cNvSpPr>
      </xdr:nvSpPr>
      <xdr:spPr>
        <a:xfrm flipV="1">
          <a:off x="3952875" y="1104900"/>
          <a:ext cx="419100" cy="180975"/>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19050</xdr:colOff>
      <xdr:row>4</xdr:row>
      <xdr:rowOff>104775</xdr:rowOff>
    </xdr:from>
    <xdr:to>
      <xdr:col>6</xdr:col>
      <xdr:colOff>428625</xdr:colOff>
      <xdr:row>5</xdr:row>
      <xdr:rowOff>104775</xdr:rowOff>
    </xdr:to>
    <xdr:sp>
      <xdr:nvSpPr>
        <xdr:cNvPr id="6" name="Straight Arrow Connector 11"/>
        <xdr:cNvSpPr>
          <a:spLocks/>
        </xdr:cNvSpPr>
      </xdr:nvSpPr>
      <xdr:spPr>
        <a:xfrm>
          <a:off x="3952875" y="1285875"/>
          <a:ext cx="409575" cy="200025"/>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10</xdr:row>
      <xdr:rowOff>190500</xdr:rowOff>
    </xdr:from>
    <xdr:to>
      <xdr:col>6</xdr:col>
      <xdr:colOff>485775</xdr:colOff>
      <xdr:row>12</xdr:row>
      <xdr:rowOff>85725</xdr:rowOff>
    </xdr:to>
    <xdr:sp>
      <xdr:nvSpPr>
        <xdr:cNvPr id="7" name="Straight Arrow Connector 13"/>
        <xdr:cNvSpPr>
          <a:spLocks/>
        </xdr:cNvSpPr>
      </xdr:nvSpPr>
      <xdr:spPr>
        <a:xfrm flipV="1">
          <a:off x="3962400" y="2647950"/>
          <a:ext cx="457200" cy="295275"/>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12</xdr:row>
      <xdr:rowOff>85725</xdr:rowOff>
    </xdr:from>
    <xdr:to>
      <xdr:col>6</xdr:col>
      <xdr:colOff>466725</xdr:colOff>
      <xdr:row>15</xdr:row>
      <xdr:rowOff>238125</xdr:rowOff>
    </xdr:to>
    <xdr:sp>
      <xdr:nvSpPr>
        <xdr:cNvPr id="8" name="Straight Arrow Connector 15"/>
        <xdr:cNvSpPr>
          <a:spLocks/>
        </xdr:cNvSpPr>
      </xdr:nvSpPr>
      <xdr:spPr>
        <a:xfrm>
          <a:off x="3962400" y="2943225"/>
          <a:ext cx="438150" cy="838200"/>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12</xdr:row>
      <xdr:rowOff>85725</xdr:rowOff>
    </xdr:from>
    <xdr:to>
      <xdr:col>6</xdr:col>
      <xdr:colOff>485775</xdr:colOff>
      <xdr:row>12</xdr:row>
      <xdr:rowOff>152400</xdr:rowOff>
    </xdr:to>
    <xdr:sp>
      <xdr:nvSpPr>
        <xdr:cNvPr id="9" name="Straight Arrow Connector 8"/>
        <xdr:cNvSpPr>
          <a:spLocks/>
        </xdr:cNvSpPr>
      </xdr:nvSpPr>
      <xdr:spPr>
        <a:xfrm>
          <a:off x="3962400" y="2943225"/>
          <a:ext cx="457200" cy="66675"/>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295275</xdr:colOff>
      <xdr:row>12</xdr:row>
      <xdr:rowOff>152400</xdr:rowOff>
    </xdr:from>
    <xdr:to>
      <xdr:col>10</xdr:col>
      <xdr:colOff>352425</xdr:colOff>
      <xdr:row>12</xdr:row>
      <xdr:rowOff>152400</xdr:rowOff>
    </xdr:to>
    <xdr:sp>
      <xdr:nvSpPr>
        <xdr:cNvPr id="10" name="Straight Connector 25"/>
        <xdr:cNvSpPr>
          <a:spLocks/>
        </xdr:cNvSpPr>
      </xdr:nvSpPr>
      <xdr:spPr>
        <a:xfrm>
          <a:off x="6286500" y="3009900"/>
          <a:ext cx="742950" cy="0"/>
        </a:xfrm>
        <a:prstGeom prst="line">
          <a:avLst/>
        </a:prstGeom>
        <a:solidFill>
          <a:srgbClr val="FFFFFF"/>
        </a:solidFill>
        <a:ln w="12700" cmpd="sng">
          <a:solidFill>
            <a:srgbClr val="ED7D31"/>
          </a:solidFill>
          <a:headEnd type="triangl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266700</xdr:colOff>
      <xdr:row>15</xdr:row>
      <xdr:rowOff>238125</xdr:rowOff>
    </xdr:from>
    <xdr:to>
      <xdr:col>10</xdr:col>
      <xdr:colOff>333375</xdr:colOff>
      <xdr:row>15</xdr:row>
      <xdr:rowOff>238125</xdr:rowOff>
    </xdr:to>
    <xdr:sp>
      <xdr:nvSpPr>
        <xdr:cNvPr id="11" name="Straight Connector 35"/>
        <xdr:cNvSpPr>
          <a:spLocks/>
        </xdr:cNvSpPr>
      </xdr:nvSpPr>
      <xdr:spPr>
        <a:xfrm>
          <a:off x="6257925" y="3781425"/>
          <a:ext cx="752475" cy="0"/>
        </a:xfrm>
        <a:prstGeom prst="line">
          <a:avLst/>
        </a:prstGeom>
        <a:solidFill>
          <a:srgbClr val="FFFFFF"/>
        </a:solidFill>
        <a:ln w="12700" cmpd="sng">
          <a:solidFill>
            <a:srgbClr val="ED7D31"/>
          </a:solidFill>
          <a:headEnd type="triangl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295275</xdr:colOff>
      <xdr:row>10</xdr:row>
      <xdr:rowOff>190500</xdr:rowOff>
    </xdr:from>
    <xdr:to>
      <xdr:col>10</xdr:col>
      <xdr:colOff>352425</xdr:colOff>
      <xdr:row>10</xdr:row>
      <xdr:rowOff>190500</xdr:rowOff>
    </xdr:to>
    <xdr:sp>
      <xdr:nvSpPr>
        <xdr:cNvPr id="12" name="Straight Connector 36"/>
        <xdr:cNvSpPr>
          <a:spLocks/>
        </xdr:cNvSpPr>
      </xdr:nvSpPr>
      <xdr:spPr>
        <a:xfrm>
          <a:off x="6286500" y="2647950"/>
          <a:ext cx="742950" cy="0"/>
        </a:xfrm>
        <a:prstGeom prst="line">
          <a:avLst/>
        </a:prstGeom>
        <a:solidFill>
          <a:srgbClr val="FFFFFF"/>
        </a:solidFill>
        <a:ln w="12700" cmpd="sng">
          <a:solidFill>
            <a:srgbClr val="ED7D31"/>
          </a:solidFill>
          <a:headEnd type="triangl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352425</xdr:colOff>
      <xdr:row>10</xdr:row>
      <xdr:rowOff>180975</xdr:rowOff>
    </xdr:from>
    <xdr:to>
      <xdr:col>10</xdr:col>
      <xdr:colOff>352425</xdr:colOff>
      <xdr:row>19</xdr:row>
      <xdr:rowOff>152400</xdr:rowOff>
    </xdr:to>
    <xdr:sp>
      <xdr:nvSpPr>
        <xdr:cNvPr id="13" name="Straight Connector 39"/>
        <xdr:cNvSpPr>
          <a:spLocks/>
        </xdr:cNvSpPr>
      </xdr:nvSpPr>
      <xdr:spPr>
        <a:xfrm>
          <a:off x="7029450" y="2638425"/>
          <a:ext cx="0" cy="1933575"/>
        </a:xfrm>
        <a:prstGeom prst="line">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342900</xdr:colOff>
      <xdr:row>4</xdr:row>
      <xdr:rowOff>142875</xdr:rowOff>
    </xdr:from>
    <xdr:to>
      <xdr:col>11</xdr:col>
      <xdr:colOff>342900</xdr:colOff>
      <xdr:row>6</xdr:row>
      <xdr:rowOff>142875</xdr:rowOff>
    </xdr:to>
    <xdr:sp>
      <xdr:nvSpPr>
        <xdr:cNvPr id="14" name="Straight Connector 42"/>
        <xdr:cNvSpPr>
          <a:spLocks/>
        </xdr:cNvSpPr>
      </xdr:nvSpPr>
      <xdr:spPr>
        <a:xfrm>
          <a:off x="7705725" y="1323975"/>
          <a:ext cx="0" cy="400050"/>
        </a:xfrm>
        <a:prstGeom prst="line">
          <a:avLst/>
        </a:prstGeom>
        <a:solidFill>
          <a:srgbClr val="FFFFFF"/>
        </a:solidFill>
        <a:ln w="12700" cmpd="sng">
          <a:solidFill>
            <a:srgbClr val="ED7D31"/>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12</xdr:row>
      <xdr:rowOff>85725</xdr:rowOff>
    </xdr:from>
    <xdr:to>
      <xdr:col>6</xdr:col>
      <xdr:colOff>466725</xdr:colOff>
      <xdr:row>17</xdr:row>
      <xdr:rowOff>152400</xdr:rowOff>
    </xdr:to>
    <xdr:sp>
      <xdr:nvSpPr>
        <xdr:cNvPr id="15" name="Straight Arrow Connector 45"/>
        <xdr:cNvSpPr>
          <a:spLocks/>
        </xdr:cNvSpPr>
      </xdr:nvSpPr>
      <xdr:spPr>
        <a:xfrm>
          <a:off x="3962400" y="2943225"/>
          <a:ext cx="438150" cy="1228725"/>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352425</xdr:colOff>
      <xdr:row>9</xdr:row>
      <xdr:rowOff>171450</xdr:rowOff>
    </xdr:from>
    <xdr:to>
      <xdr:col>11</xdr:col>
      <xdr:colOff>361950</xdr:colOff>
      <xdr:row>13</xdr:row>
      <xdr:rowOff>28575</xdr:rowOff>
    </xdr:to>
    <xdr:sp>
      <xdr:nvSpPr>
        <xdr:cNvPr id="16" name="Straight Connector 28"/>
        <xdr:cNvSpPr>
          <a:spLocks/>
        </xdr:cNvSpPr>
      </xdr:nvSpPr>
      <xdr:spPr>
        <a:xfrm>
          <a:off x="7715250" y="2428875"/>
          <a:ext cx="9525" cy="762000"/>
        </a:xfrm>
        <a:prstGeom prst="line">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323850</xdr:colOff>
      <xdr:row>3</xdr:row>
      <xdr:rowOff>133350</xdr:rowOff>
    </xdr:from>
    <xdr:to>
      <xdr:col>10</xdr:col>
      <xdr:colOff>323850</xdr:colOff>
      <xdr:row>5</xdr:row>
      <xdr:rowOff>104775</xdr:rowOff>
    </xdr:to>
    <xdr:sp>
      <xdr:nvSpPr>
        <xdr:cNvPr id="17" name="Straight Connector 43"/>
        <xdr:cNvSpPr>
          <a:spLocks/>
        </xdr:cNvSpPr>
      </xdr:nvSpPr>
      <xdr:spPr>
        <a:xfrm>
          <a:off x="7000875" y="1114425"/>
          <a:ext cx="0" cy="371475"/>
        </a:xfrm>
        <a:prstGeom prst="line">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10</xdr:col>
      <xdr:colOff>342900</xdr:colOff>
      <xdr:row>4</xdr:row>
      <xdr:rowOff>152400</xdr:rowOff>
    </xdr:from>
    <xdr:to>
      <xdr:col>11</xdr:col>
      <xdr:colOff>371475</xdr:colOff>
      <xdr:row>4</xdr:row>
      <xdr:rowOff>152400</xdr:rowOff>
    </xdr:to>
    <xdr:sp>
      <xdr:nvSpPr>
        <xdr:cNvPr id="18" name="Straight Connector 44"/>
        <xdr:cNvSpPr>
          <a:spLocks/>
        </xdr:cNvSpPr>
      </xdr:nvSpPr>
      <xdr:spPr>
        <a:xfrm>
          <a:off x="7019925" y="1333500"/>
          <a:ext cx="714375" cy="0"/>
        </a:xfrm>
        <a:prstGeom prst="line">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676275</xdr:colOff>
      <xdr:row>3</xdr:row>
      <xdr:rowOff>180975</xdr:rowOff>
    </xdr:from>
    <xdr:to>
      <xdr:col>6</xdr:col>
      <xdr:colOff>19050</xdr:colOff>
      <xdr:row>5</xdr:row>
      <xdr:rowOff>38100</xdr:rowOff>
    </xdr:to>
    <xdr:pic>
      <xdr:nvPicPr>
        <xdr:cNvPr id="19" name="Picture 50"/>
        <xdr:cNvPicPr preferRelativeResize="1">
          <a:picLocks noChangeAspect="1"/>
        </xdr:cNvPicPr>
      </xdr:nvPicPr>
      <xdr:blipFill>
        <a:blip r:embed="rId1"/>
        <a:stretch>
          <a:fillRect/>
        </a:stretch>
      </xdr:blipFill>
      <xdr:spPr>
        <a:xfrm>
          <a:off x="1866900" y="1162050"/>
          <a:ext cx="2085975" cy="257175"/>
        </a:xfrm>
        <a:prstGeom prst="rect">
          <a:avLst/>
        </a:prstGeom>
        <a:solidFill>
          <a:srgbClr val="FFFFFF"/>
        </a:solidFill>
        <a:ln w="12700" cmpd="sng">
          <a:solidFill>
            <a:srgbClr val="ED7D31"/>
          </a:solidFill>
          <a:headEnd type="none"/>
          <a:tailEnd type="none"/>
        </a:ln>
      </xdr:spPr>
    </xdr:pic>
    <xdr:clientData/>
  </xdr:twoCellAnchor>
  <xdr:twoCellAnchor>
    <xdr:from>
      <xdr:col>2</xdr:col>
      <xdr:colOff>685800</xdr:colOff>
      <xdr:row>11</xdr:row>
      <xdr:rowOff>161925</xdr:rowOff>
    </xdr:from>
    <xdr:to>
      <xdr:col>6</xdr:col>
      <xdr:colOff>28575</xdr:colOff>
      <xdr:row>12</xdr:row>
      <xdr:rowOff>219075</xdr:rowOff>
    </xdr:to>
    <xdr:pic>
      <xdr:nvPicPr>
        <xdr:cNvPr id="20" name="Picture 53"/>
        <xdr:cNvPicPr preferRelativeResize="1">
          <a:picLocks noChangeAspect="1"/>
        </xdr:cNvPicPr>
      </xdr:nvPicPr>
      <xdr:blipFill>
        <a:blip r:embed="rId2"/>
        <a:stretch>
          <a:fillRect/>
        </a:stretch>
      </xdr:blipFill>
      <xdr:spPr>
        <a:xfrm>
          <a:off x="1876425" y="2819400"/>
          <a:ext cx="2085975" cy="257175"/>
        </a:xfrm>
        <a:prstGeom prst="rect">
          <a:avLst/>
        </a:prstGeom>
        <a:solidFill>
          <a:srgbClr val="FFFFFF"/>
        </a:solidFill>
        <a:ln w="12700" cmpd="sng">
          <a:solidFill>
            <a:srgbClr val="ED7D31"/>
          </a:solidFill>
          <a:headEnd type="none"/>
          <a:tailEnd type="none"/>
        </a:ln>
      </xdr:spPr>
    </xdr:pic>
    <xdr:clientData/>
  </xdr:twoCellAnchor>
  <xdr:twoCellAnchor>
    <xdr:from>
      <xdr:col>11</xdr:col>
      <xdr:colOff>352425</xdr:colOff>
      <xdr:row>7</xdr:row>
      <xdr:rowOff>142875</xdr:rowOff>
    </xdr:from>
    <xdr:to>
      <xdr:col>11</xdr:col>
      <xdr:colOff>352425</xdr:colOff>
      <xdr:row>8</xdr:row>
      <xdr:rowOff>104775</xdr:rowOff>
    </xdr:to>
    <xdr:sp>
      <xdr:nvSpPr>
        <xdr:cNvPr id="21" name="Straight Connector 46"/>
        <xdr:cNvSpPr>
          <a:spLocks/>
        </xdr:cNvSpPr>
      </xdr:nvSpPr>
      <xdr:spPr>
        <a:xfrm>
          <a:off x="7715250" y="2000250"/>
          <a:ext cx="0" cy="161925"/>
        </a:xfrm>
        <a:prstGeom prst="line">
          <a:avLst/>
        </a:prstGeom>
        <a:solidFill>
          <a:srgbClr val="FFFFFF"/>
        </a:solidFill>
        <a:ln w="12700" cmpd="sng">
          <a:solidFill>
            <a:srgbClr val="ED7D31"/>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9</xdr:row>
      <xdr:rowOff>57150</xdr:rowOff>
    </xdr:from>
    <xdr:to>
      <xdr:col>6</xdr:col>
      <xdr:colOff>457200</xdr:colOff>
      <xdr:row>12</xdr:row>
      <xdr:rowOff>95250</xdr:rowOff>
    </xdr:to>
    <xdr:sp>
      <xdr:nvSpPr>
        <xdr:cNvPr id="22" name="Straight Arrow Connector 47"/>
        <xdr:cNvSpPr>
          <a:spLocks/>
        </xdr:cNvSpPr>
      </xdr:nvSpPr>
      <xdr:spPr>
        <a:xfrm flipV="1">
          <a:off x="3962400" y="2314575"/>
          <a:ext cx="428625" cy="638175"/>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466725</xdr:colOff>
      <xdr:row>9</xdr:row>
      <xdr:rowOff>38100</xdr:rowOff>
    </xdr:from>
    <xdr:to>
      <xdr:col>10</xdr:col>
      <xdr:colOff>180975</xdr:colOff>
      <xdr:row>9</xdr:row>
      <xdr:rowOff>38100</xdr:rowOff>
    </xdr:to>
    <xdr:sp>
      <xdr:nvSpPr>
        <xdr:cNvPr id="23" name="Straight Arrow Connector 49"/>
        <xdr:cNvSpPr>
          <a:spLocks/>
        </xdr:cNvSpPr>
      </xdr:nvSpPr>
      <xdr:spPr>
        <a:xfrm>
          <a:off x="4400550" y="2295525"/>
          <a:ext cx="2457450" cy="0"/>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12</xdr:row>
      <xdr:rowOff>85725</xdr:rowOff>
    </xdr:from>
    <xdr:to>
      <xdr:col>6</xdr:col>
      <xdr:colOff>476250</xdr:colOff>
      <xdr:row>19</xdr:row>
      <xdr:rowOff>142875</xdr:rowOff>
    </xdr:to>
    <xdr:sp>
      <xdr:nvSpPr>
        <xdr:cNvPr id="24" name="Straight Arrow Connector 48"/>
        <xdr:cNvSpPr>
          <a:spLocks/>
        </xdr:cNvSpPr>
      </xdr:nvSpPr>
      <xdr:spPr>
        <a:xfrm>
          <a:off x="3962400" y="2943225"/>
          <a:ext cx="447675" cy="1619250"/>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285750</xdr:colOff>
      <xdr:row>19</xdr:row>
      <xdr:rowOff>142875</xdr:rowOff>
    </xdr:from>
    <xdr:to>
      <xdr:col>10</xdr:col>
      <xdr:colOff>352425</xdr:colOff>
      <xdr:row>19</xdr:row>
      <xdr:rowOff>142875</xdr:rowOff>
    </xdr:to>
    <xdr:sp>
      <xdr:nvSpPr>
        <xdr:cNvPr id="25" name="Straight Connector 51"/>
        <xdr:cNvSpPr>
          <a:spLocks/>
        </xdr:cNvSpPr>
      </xdr:nvSpPr>
      <xdr:spPr>
        <a:xfrm>
          <a:off x="6276975" y="4562475"/>
          <a:ext cx="752475" cy="0"/>
        </a:xfrm>
        <a:prstGeom prst="line">
          <a:avLst/>
        </a:prstGeom>
        <a:solidFill>
          <a:srgbClr val="FFFFFF"/>
        </a:solidFill>
        <a:ln w="12700" cmpd="sng">
          <a:solidFill>
            <a:srgbClr val="ED7D31"/>
          </a:solidFill>
          <a:headEnd type="triangl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6</xdr:col>
      <xdr:colOff>28575</xdr:colOff>
      <xdr:row>12</xdr:row>
      <xdr:rowOff>85725</xdr:rowOff>
    </xdr:from>
    <xdr:to>
      <xdr:col>6</xdr:col>
      <xdr:colOff>466725</xdr:colOff>
      <xdr:row>14</xdr:row>
      <xdr:rowOff>19050</xdr:rowOff>
    </xdr:to>
    <xdr:sp>
      <xdr:nvSpPr>
        <xdr:cNvPr id="26" name="Straight Arrow Connector 52"/>
        <xdr:cNvSpPr>
          <a:spLocks/>
        </xdr:cNvSpPr>
      </xdr:nvSpPr>
      <xdr:spPr>
        <a:xfrm>
          <a:off x="3962400" y="2943225"/>
          <a:ext cx="438150" cy="438150"/>
        </a:xfrm>
        <a:prstGeom prst="straightConnector1">
          <a:avLst/>
        </a:prstGeom>
        <a:solidFill>
          <a:srgbClr val="FFFFFF"/>
        </a:solidFill>
        <a:ln w="12700" cmpd="sng">
          <a:solidFill>
            <a:srgbClr val="ED7D31"/>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14</xdr:row>
      <xdr:rowOff>19050</xdr:rowOff>
    </xdr:from>
    <xdr:to>
      <xdr:col>10</xdr:col>
      <xdr:colOff>342900</xdr:colOff>
      <xdr:row>14</xdr:row>
      <xdr:rowOff>19050</xdr:rowOff>
    </xdr:to>
    <xdr:sp>
      <xdr:nvSpPr>
        <xdr:cNvPr id="27" name="Straight Connector 54"/>
        <xdr:cNvSpPr>
          <a:spLocks/>
        </xdr:cNvSpPr>
      </xdr:nvSpPr>
      <xdr:spPr>
        <a:xfrm>
          <a:off x="6267450" y="3381375"/>
          <a:ext cx="752475" cy="0"/>
        </a:xfrm>
        <a:prstGeom prst="line">
          <a:avLst/>
        </a:prstGeom>
        <a:solidFill>
          <a:srgbClr val="FFFFFF"/>
        </a:solidFill>
        <a:ln w="12700" cmpd="sng">
          <a:solidFill>
            <a:srgbClr val="ED7D31"/>
          </a:solidFill>
          <a:headEnd type="triangl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1085850</xdr:colOff>
      <xdr:row>0</xdr:row>
      <xdr:rowOff>0</xdr:rowOff>
    </xdr:from>
    <xdr:to>
      <xdr:col>2</xdr:col>
      <xdr:colOff>1362075</xdr:colOff>
      <xdr:row>2</xdr:row>
      <xdr:rowOff>190500</xdr:rowOff>
    </xdr:to>
    <xdr:sp macro="[0]!MenuChinh">
      <xdr:nvSpPr>
        <xdr:cNvPr id="1" name="Right Arrow 3"/>
        <xdr:cNvSpPr>
          <a:spLocks/>
        </xdr:cNvSpPr>
      </xdr:nvSpPr>
      <xdr:spPr>
        <a:xfrm>
          <a:off x="2524125" y="0"/>
          <a:ext cx="276225" cy="923925"/>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1581150</xdr:colOff>
      <xdr:row>1</xdr:row>
      <xdr:rowOff>95250</xdr:rowOff>
    </xdr:from>
    <xdr:ext cx="276225" cy="933450"/>
    <xdr:sp macro="[0]!UCVtoMenuChinh">
      <xdr:nvSpPr>
        <xdr:cNvPr id="1" name="Right Arrow 3"/>
        <xdr:cNvSpPr>
          <a:spLocks/>
        </xdr:cNvSpPr>
      </xdr:nvSpPr>
      <xdr:spPr>
        <a:xfrm>
          <a:off x="2038350" y="609600"/>
          <a:ext cx="276225" cy="933450"/>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276225</xdr:colOff>
      <xdr:row>0</xdr:row>
      <xdr:rowOff>209550</xdr:rowOff>
    </xdr:from>
    <xdr:to>
      <xdr:col>22</xdr:col>
      <xdr:colOff>57150</xdr:colOff>
      <xdr:row>5</xdr:row>
      <xdr:rowOff>38100</xdr:rowOff>
    </xdr:to>
    <xdr:sp macro="[0]!MenuChinh">
      <xdr:nvSpPr>
        <xdr:cNvPr id="1" name="Right Arrow 1"/>
        <xdr:cNvSpPr>
          <a:spLocks/>
        </xdr:cNvSpPr>
      </xdr:nvSpPr>
      <xdr:spPr>
        <a:xfrm>
          <a:off x="12268200" y="209550"/>
          <a:ext cx="295275" cy="914400"/>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447675</xdr:colOff>
      <xdr:row>3</xdr:row>
      <xdr:rowOff>200025</xdr:rowOff>
    </xdr:from>
    <xdr:to>
      <xdr:col>7</xdr:col>
      <xdr:colOff>1171575</xdr:colOff>
      <xdr:row>3</xdr:row>
      <xdr:rowOff>200025</xdr:rowOff>
    </xdr:to>
    <xdr:sp>
      <xdr:nvSpPr>
        <xdr:cNvPr id="1" name="Line 2"/>
        <xdr:cNvSpPr>
          <a:spLocks/>
        </xdr:cNvSpPr>
      </xdr:nvSpPr>
      <xdr:spPr>
        <a:xfrm>
          <a:off x="3486150" y="838200"/>
          <a:ext cx="186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7</xdr:col>
      <xdr:colOff>1743075</xdr:colOff>
      <xdr:row>3</xdr:row>
      <xdr:rowOff>142875</xdr:rowOff>
    </xdr:from>
    <xdr:to>
      <xdr:col>7</xdr:col>
      <xdr:colOff>2038350</xdr:colOff>
      <xdr:row>7</xdr:row>
      <xdr:rowOff>276225</xdr:rowOff>
    </xdr:to>
    <xdr:sp macro="[0]!MenuChinh">
      <xdr:nvSpPr>
        <xdr:cNvPr id="2" name="Right Arrow 3"/>
        <xdr:cNvSpPr>
          <a:spLocks/>
        </xdr:cNvSpPr>
      </xdr:nvSpPr>
      <xdr:spPr>
        <a:xfrm>
          <a:off x="5924550" y="781050"/>
          <a:ext cx="295275" cy="942975"/>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219075</xdr:rowOff>
    </xdr:from>
    <xdr:to>
      <xdr:col>10</xdr:col>
      <xdr:colOff>581025</xdr:colOff>
      <xdr:row>3</xdr:row>
      <xdr:rowOff>219075</xdr:rowOff>
    </xdr:to>
    <xdr:sp>
      <xdr:nvSpPr>
        <xdr:cNvPr id="1" name="Line 3"/>
        <xdr:cNvSpPr>
          <a:spLocks/>
        </xdr:cNvSpPr>
      </xdr:nvSpPr>
      <xdr:spPr>
        <a:xfrm>
          <a:off x="3733800" y="723900"/>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11</xdr:col>
      <xdr:colOff>85725</xdr:colOff>
      <xdr:row>1</xdr:row>
      <xdr:rowOff>66675</xdr:rowOff>
    </xdr:from>
    <xdr:to>
      <xdr:col>11</xdr:col>
      <xdr:colOff>361950</xdr:colOff>
      <xdr:row>5</xdr:row>
      <xdr:rowOff>238125</xdr:rowOff>
    </xdr:to>
    <xdr:sp macro="[0]!MenuChinh">
      <xdr:nvSpPr>
        <xdr:cNvPr id="2" name="Right Arrow 2"/>
        <xdr:cNvSpPr>
          <a:spLocks/>
        </xdr:cNvSpPr>
      </xdr:nvSpPr>
      <xdr:spPr>
        <a:xfrm>
          <a:off x="6457950" y="257175"/>
          <a:ext cx="276225" cy="942975"/>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4</xdr:row>
      <xdr:rowOff>9525</xdr:rowOff>
    </xdr:from>
    <xdr:to>
      <xdr:col>11</xdr:col>
      <xdr:colOff>409575</xdr:colOff>
      <xdr:row>4</xdr:row>
      <xdr:rowOff>9525</xdr:rowOff>
    </xdr:to>
    <xdr:sp>
      <xdr:nvSpPr>
        <xdr:cNvPr id="1" name="Line 3"/>
        <xdr:cNvSpPr>
          <a:spLocks/>
        </xdr:cNvSpPr>
      </xdr:nvSpPr>
      <xdr:spPr>
        <a:xfrm>
          <a:off x="3352800" y="676275"/>
          <a:ext cx="1952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419100</xdr:colOff>
      <xdr:row>8</xdr:row>
      <xdr:rowOff>19050</xdr:rowOff>
    </xdr:from>
    <xdr:to>
      <xdr:col>7</xdr:col>
      <xdr:colOff>523875</xdr:colOff>
      <xdr:row>8</xdr:row>
      <xdr:rowOff>19050</xdr:rowOff>
    </xdr:to>
    <xdr:sp>
      <xdr:nvSpPr>
        <xdr:cNvPr id="2" name="Đường kết nối Thẳng 3"/>
        <xdr:cNvSpPr>
          <a:spLocks/>
        </xdr:cNvSpPr>
      </xdr:nvSpPr>
      <xdr:spPr>
        <a:xfrm>
          <a:off x="2847975" y="1590675"/>
          <a:ext cx="6000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absolute">
    <xdr:from>
      <xdr:col>12</xdr:col>
      <xdr:colOff>504825</xdr:colOff>
      <xdr:row>3</xdr:row>
      <xdr:rowOff>66675</xdr:rowOff>
    </xdr:from>
    <xdr:to>
      <xdr:col>12</xdr:col>
      <xdr:colOff>800100</xdr:colOff>
      <xdr:row>7</xdr:row>
      <xdr:rowOff>104775</xdr:rowOff>
    </xdr:to>
    <xdr:sp macro="[0]!MenuChinh">
      <xdr:nvSpPr>
        <xdr:cNvPr id="3" name="Right Arrow 3"/>
        <xdr:cNvSpPr>
          <a:spLocks/>
        </xdr:cNvSpPr>
      </xdr:nvSpPr>
      <xdr:spPr>
        <a:xfrm>
          <a:off x="5924550" y="533400"/>
          <a:ext cx="295275" cy="914400"/>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3</xdr:row>
      <xdr:rowOff>19050</xdr:rowOff>
    </xdr:from>
    <xdr:to>
      <xdr:col>12</xdr:col>
      <xdr:colOff>123825</xdr:colOff>
      <xdr:row>3</xdr:row>
      <xdr:rowOff>19050</xdr:rowOff>
    </xdr:to>
    <xdr:sp>
      <xdr:nvSpPr>
        <xdr:cNvPr id="1" name="Straight Connector 1"/>
        <xdr:cNvSpPr>
          <a:spLocks/>
        </xdr:cNvSpPr>
      </xdr:nvSpPr>
      <xdr:spPr>
        <a:xfrm>
          <a:off x="7305675" y="619125"/>
          <a:ext cx="19240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absolute">
    <xdr:from>
      <xdr:col>13</xdr:col>
      <xdr:colOff>504825</xdr:colOff>
      <xdr:row>3</xdr:row>
      <xdr:rowOff>0</xdr:rowOff>
    </xdr:from>
    <xdr:to>
      <xdr:col>14</xdr:col>
      <xdr:colOff>114300</xdr:colOff>
      <xdr:row>7</xdr:row>
      <xdr:rowOff>47625</xdr:rowOff>
    </xdr:to>
    <xdr:sp macro="[0]!MenuChinh">
      <xdr:nvSpPr>
        <xdr:cNvPr id="2" name="Right Arrow 3"/>
        <xdr:cNvSpPr>
          <a:spLocks/>
        </xdr:cNvSpPr>
      </xdr:nvSpPr>
      <xdr:spPr>
        <a:xfrm>
          <a:off x="10296525" y="600075"/>
          <a:ext cx="295275" cy="914400"/>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3</xdr:row>
      <xdr:rowOff>0</xdr:rowOff>
    </xdr:from>
    <xdr:to>
      <xdr:col>39</xdr:col>
      <xdr:colOff>152400</xdr:colOff>
      <xdr:row>3</xdr:row>
      <xdr:rowOff>0</xdr:rowOff>
    </xdr:to>
    <xdr:sp>
      <xdr:nvSpPr>
        <xdr:cNvPr id="1" name="Straight Connector 1"/>
        <xdr:cNvSpPr>
          <a:spLocks/>
        </xdr:cNvSpPr>
      </xdr:nvSpPr>
      <xdr:spPr>
        <a:xfrm>
          <a:off x="4705350" y="523875"/>
          <a:ext cx="17621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absolute">
    <xdr:from>
      <xdr:col>57</xdr:col>
      <xdr:colOff>66675</xdr:colOff>
      <xdr:row>3</xdr:row>
      <xdr:rowOff>152400</xdr:rowOff>
    </xdr:from>
    <xdr:to>
      <xdr:col>59</xdr:col>
      <xdr:colOff>38100</xdr:colOff>
      <xdr:row>7</xdr:row>
      <xdr:rowOff>85725</xdr:rowOff>
    </xdr:to>
    <xdr:sp macro="[0]!MenuChinh">
      <xdr:nvSpPr>
        <xdr:cNvPr id="2" name="Right Arrow 2"/>
        <xdr:cNvSpPr>
          <a:spLocks/>
        </xdr:cNvSpPr>
      </xdr:nvSpPr>
      <xdr:spPr>
        <a:xfrm>
          <a:off x="9296400" y="676275"/>
          <a:ext cx="295275" cy="933450"/>
        </a:xfrm>
        <a:prstGeom prst="rightArrow">
          <a:avLst>
            <a:gd name="adj1" fmla="val -18509"/>
            <a:gd name="adj2" fmla="val -27273"/>
          </a:avLst>
        </a:prstGeom>
        <a:solidFill>
          <a:srgbClr val="ED7D31"/>
        </a:solidFill>
        <a:ln w="19050" cmpd="sng">
          <a:solidFill>
            <a:srgbClr val="FFFFFF"/>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I328"/>
  <sheetViews>
    <sheetView zoomScale="75" zoomScaleNormal="75" zoomScalePageLayoutView="0" workbookViewId="0" topLeftCell="A2">
      <selection activeCell="E19" sqref="E19"/>
    </sheetView>
  </sheetViews>
  <sheetFormatPr defaultColWidth="9.00390625" defaultRowHeight="15.75"/>
  <cols>
    <col min="1" max="1" width="5.50390625" style="6" customWidth="1"/>
    <col min="2" max="2" width="19.00390625" style="5" customWidth="1"/>
    <col min="3" max="3" width="11.75390625" style="36" customWidth="1"/>
    <col min="4" max="4" width="60.125" style="37" customWidth="1"/>
    <col min="5" max="6" width="10.25390625" style="38" customWidth="1"/>
    <col min="7" max="7" width="6.75390625" style="6" customWidth="1"/>
    <col min="8" max="8" width="4.625" style="6" customWidth="1"/>
    <col min="9" max="9" width="22.875" style="6" customWidth="1"/>
    <col min="10" max="16384" width="9.00390625" style="6" customWidth="1"/>
  </cols>
  <sheetData>
    <row r="1" spans="1:6" ht="18.75">
      <c r="A1" s="365" t="s">
        <v>45</v>
      </c>
      <c r="B1" s="365"/>
      <c r="C1" s="365"/>
      <c r="D1" s="365"/>
      <c r="E1" s="365"/>
      <c r="F1" s="5"/>
    </row>
    <row r="2" spans="1:6" ht="18.75">
      <c r="A2" s="365" t="s">
        <v>46</v>
      </c>
      <c r="B2" s="365"/>
      <c r="C2" s="365"/>
      <c r="D2" s="365"/>
      <c r="E2" s="365"/>
      <c r="F2" s="5"/>
    </row>
    <row r="3" spans="1:6" ht="18.75">
      <c r="A3" s="366" t="s">
        <v>47</v>
      </c>
      <c r="B3" s="366"/>
      <c r="C3" s="365"/>
      <c r="D3" s="365"/>
      <c r="E3" s="365"/>
      <c r="F3" s="5"/>
    </row>
    <row r="4" spans="1:6" ht="18.75">
      <c r="A4" s="367" t="s">
        <v>48</v>
      </c>
      <c r="B4" s="367"/>
      <c r="C4" s="367"/>
      <c r="D4" s="367"/>
      <c r="E4" s="367"/>
      <c r="F4" s="5"/>
    </row>
    <row r="5" spans="1:6" ht="18.75">
      <c r="A5" s="7"/>
      <c r="B5" s="8"/>
      <c r="C5" s="7"/>
      <c r="D5" s="9"/>
      <c r="E5" s="10"/>
      <c r="F5" s="10"/>
    </row>
    <row r="6" spans="1:6" s="14" customFormat="1" ht="56.25">
      <c r="A6" s="11">
        <v>1</v>
      </c>
      <c r="B6" s="12" t="s">
        <v>49</v>
      </c>
      <c r="C6" s="11" t="s">
        <v>50</v>
      </c>
      <c r="D6" s="11" t="s">
        <v>51</v>
      </c>
      <c r="E6" s="13" t="s">
        <v>41</v>
      </c>
      <c r="F6" s="13" t="s">
        <v>42</v>
      </c>
    </row>
    <row r="7" spans="1:9" s="18" customFormat="1" ht="18.75">
      <c r="A7" s="11"/>
      <c r="B7" s="12" t="s">
        <v>52</v>
      </c>
      <c r="C7" s="15">
        <v>1</v>
      </c>
      <c r="D7" s="16" t="s">
        <v>53</v>
      </c>
      <c r="E7" s="17">
        <v>5</v>
      </c>
      <c r="F7" s="17">
        <v>8</v>
      </c>
      <c r="I7" s="18" t="s">
        <v>115</v>
      </c>
    </row>
    <row r="8" spans="1:9" s="18" customFormat="1" ht="18.75">
      <c r="A8" s="11"/>
      <c r="B8" s="12" t="s">
        <v>52</v>
      </c>
      <c r="C8" s="15">
        <v>2</v>
      </c>
      <c r="D8" s="16" t="s">
        <v>54</v>
      </c>
      <c r="E8" s="17">
        <v>5</v>
      </c>
      <c r="F8" s="17">
        <v>8</v>
      </c>
      <c r="I8" s="18" t="s">
        <v>131</v>
      </c>
    </row>
    <row r="9" spans="1:9" s="18" customFormat="1" ht="18.75">
      <c r="A9" s="11"/>
      <c r="B9" s="12" t="s">
        <v>52</v>
      </c>
      <c r="C9" s="15">
        <v>3</v>
      </c>
      <c r="D9" s="16" t="s">
        <v>55</v>
      </c>
      <c r="E9" s="17">
        <v>5</v>
      </c>
      <c r="F9" s="17">
        <v>8</v>
      </c>
      <c r="I9" s="18" t="s">
        <v>188</v>
      </c>
    </row>
    <row r="10" spans="1:9" s="18" customFormat="1" ht="18.75">
      <c r="A10" s="11"/>
      <c r="B10" s="12" t="s">
        <v>52</v>
      </c>
      <c r="C10" s="15">
        <v>4</v>
      </c>
      <c r="D10" s="16" t="s">
        <v>56</v>
      </c>
      <c r="E10" s="17">
        <v>5</v>
      </c>
      <c r="F10" s="17">
        <v>8</v>
      </c>
      <c r="I10" s="18" t="s">
        <v>180</v>
      </c>
    </row>
    <row r="11" spans="1:9" s="18" customFormat="1" ht="18.75">
      <c r="A11" s="11"/>
      <c r="B11" s="12" t="s">
        <v>57</v>
      </c>
      <c r="C11" s="15">
        <v>1</v>
      </c>
      <c r="D11" s="16" t="s">
        <v>58</v>
      </c>
      <c r="E11" s="17">
        <v>5</v>
      </c>
      <c r="F11" s="17">
        <v>8</v>
      </c>
      <c r="I11" s="18" t="s">
        <v>172</v>
      </c>
    </row>
    <row r="12" spans="1:9" s="18" customFormat="1" ht="18.75">
      <c r="A12" s="11"/>
      <c r="B12" s="12" t="s">
        <v>57</v>
      </c>
      <c r="C12" s="15">
        <v>2</v>
      </c>
      <c r="D12" s="16" t="s">
        <v>59</v>
      </c>
      <c r="E12" s="17">
        <v>5</v>
      </c>
      <c r="F12" s="17">
        <v>8</v>
      </c>
      <c r="I12" s="18" t="s">
        <v>204</v>
      </c>
    </row>
    <row r="13" spans="1:9" s="18" customFormat="1" ht="18.75">
      <c r="A13" s="11"/>
      <c r="B13" s="12" t="s">
        <v>57</v>
      </c>
      <c r="C13" s="15">
        <v>3</v>
      </c>
      <c r="D13" s="16" t="s">
        <v>60</v>
      </c>
      <c r="E13" s="17">
        <v>5</v>
      </c>
      <c r="F13" s="17">
        <v>8</v>
      </c>
      <c r="I13" s="18" t="s">
        <v>124</v>
      </c>
    </row>
    <row r="14" spans="1:9" s="18" customFormat="1" ht="18.75">
      <c r="A14" s="11"/>
      <c r="B14" s="12" t="s">
        <v>57</v>
      </c>
      <c r="C14" s="15">
        <v>4</v>
      </c>
      <c r="D14" s="19" t="s">
        <v>61</v>
      </c>
      <c r="E14" s="17">
        <v>5</v>
      </c>
      <c r="F14" s="17">
        <v>8</v>
      </c>
      <c r="I14" s="18" t="s">
        <v>52</v>
      </c>
    </row>
    <row r="15" spans="1:9" s="18" customFormat="1" ht="18.75">
      <c r="A15" s="11"/>
      <c r="B15" s="12" t="s">
        <v>44</v>
      </c>
      <c r="C15" s="15">
        <v>1</v>
      </c>
      <c r="D15" s="16" t="s">
        <v>62</v>
      </c>
      <c r="E15" s="17">
        <v>2</v>
      </c>
      <c r="F15" s="17">
        <v>3</v>
      </c>
      <c r="I15" s="18" t="s">
        <v>79</v>
      </c>
    </row>
    <row r="16" spans="1:9" s="18" customFormat="1" ht="18.75">
      <c r="A16" s="11"/>
      <c r="B16" s="12" t="s">
        <v>44</v>
      </c>
      <c r="C16" s="15">
        <v>2</v>
      </c>
      <c r="D16" s="16" t="s">
        <v>63</v>
      </c>
      <c r="E16" s="17">
        <v>3</v>
      </c>
      <c r="F16" s="17">
        <v>5</v>
      </c>
      <c r="I16" s="18" t="s">
        <v>212</v>
      </c>
    </row>
    <row r="17" spans="1:9" s="18" customFormat="1" ht="18.75">
      <c r="A17" s="11"/>
      <c r="B17" s="12" t="s">
        <v>44</v>
      </c>
      <c r="C17" s="15">
        <v>3</v>
      </c>
      <c r="D17" s="16" t="s">
        <v>64</v>
      </c>
      <c r="E17" s="17">
        <v>3</v>
      </c>
      <c r="F17" s="17">
        <v>5</v>
      </c>
      <c r="I17" s="18" t="s">
        <v>44</v>
      </c>
    </row>
    <row r="18" spans="1:9" s="18" customFormat="1" ht="18.75">
      <c r="A18" s="11"/>
      <c r="B18" s="12" t="s">
        <v>44</v>
      </c>
      <c r="C18" s="15">
        <v>4</v>
      </c>
      <c r="D18" s="16" t="s">
        <v>65</v>
      </c>
      <c r="E18" s="17">
        <v>3</v>
      </c>
      <c r="F18" s="17">
        <v>5</v>
      </c>
      <c r="I18" s="18" t="s">
        <v>71</v>
      </c>
    </row>
    <row r="19" spans="1:9" s="18" customFormat="1" ht="56.25">
      <c r="A19" s="11"/>
      <c r="B19" s="12" t="s">
        <v>44</v>
      </c>
      <c r="C19" s="12">
        <v>5</v>
      </c>
      <c r="D19" s="20" t="s">
        <v>66</v>
      </c>
      <c r="E19" s="17">
        <v>4</v>
      </c>
      <c r="F19" s="17">
        <v>7</v>
      </c>
      <c r="I19" s="18" t="s">
        <v>86</v>
      </c>
    </row>
    <row r="20" spans="1:9" s="18" customFormat="1" ht="18.75">
      <c r="A20" s="11"/>
      <c r="B20" s="12" t="s">
        <v>44</v>
      </c>
      <c r="C20" s="15">
        <v>6</v>
      </c>
      <c r="D20" s="16" t="s">
        <v>67</v>
      </c>
      <c r="E20" s="17">
        <v>2</v>
      </c>
      <c r="F20" s="17">
        <v>3</v>
      </c>
      <c r="I20" s="18" t="s">
        <v>57</v>
      </c>
    </row>
    <row r="21" spans="1:9" s="18" customFormat="1" ht="37.5">
      <c r="A21" s="11"/>
      <c r="B21" s="12" t="s">
        <v>44</v>
      </c>
      <c r="C21" s="12">
        <v>7</v>
      </c>
      <c r="D21" s="20" t="s">
        <v>68</v>
      </c>
      <c r="E21" s="17">
        <v>4</v>
      </c>
      <c r="F21" s="17">
        <v>7</v>
      </c>
      <c r="I21" s="18" t="s">
        <v>94</v>
      </c>
    </row>
    <row r="22" spans="1:9" s="18" customFormat="1" ht="18.75">
      <c r="A22" s="11"/>
      <c r="B22" s="12" t="s">
        <v>44</v>
      </c>
      <c r="C22" s="12">
        <v>8</v>
      </c>
      <c r="D22" s="20" t="s">
        <v>69</v>
      </c>
      <c r="E22" s="17">
        <v>3</v>
      </c>
      <c r="F22" s="17">
        <v>5</v>
      </c>
      <c r="I22" s="18" t="s">
        <v>108</v>
      </c>
    </row>
    <row r="23" spans="1:9" s="18" customFormat="1" ht="18.75">
      <c r="A23" s="11"/>
      <c r="B23" s="12" t="s">
        <v>44</v>
      </c>
      <c r="C23" s="15">
        <v>9</v>
      </c>
      <c r="D23" s="16" t="s">
        <v>70</v>
      </c>
      <c r="E23" s="17">
        <v>3</v>
      </c>
      <c r="F23" s="17">
        <v>5</v>
      </c>
      <c r="I23" s="18" t="s">
        <v>100</v>
      </c>
    </row>
    <row r="24" spans="1:9" s="18" customFormat="1" ht="18.75">
      <c r="A24" s="11"/>
      <c r="B24" s="12" t="s">
        <v>71</v>
      </c>
      <c r="C24" s="15">
        <v>1</v>
      </c>
      <c r="D24" s="16" t="s">
        <v>72</v>
      </c>
      <c r="E24" s="17">
        <v>3</v>
      </c>
      <c r="F24" s="17">
        <v>5</v>
      </c>
      <c r="I24" s="18" t="s">
        <v>140</v>
      </c>
    </row>
    <row r="25" spans="1:9" s="18" customFormat="1" ht="18.75">
      <c r="A25" s="11"/>
      <c r="B25" s="12" t="s">
        <v>71</v>
      </c>
      <c r="C25" s="15">
        <v>2</v>
      </c>
      <c r="D25" s="19" t="s">
        <v>73</v>
      </c>
      <c r="E25" s="17">
        <v>4</v>
      </c>
      <c r="F25" s="17">
        <v>7</v>
      </c>
      <c r="I25" s="18" t="s">
        <v>148</v>
      </c>
    </row>
    <row r="26" spans="1:9" s="18" customFormat="1" ht="18.75">
      <c r="A26" s="11"/>
      <c r="B26" s="12" t="s">
        <v>71</v>
      </c>
      <c r="C26" s="15">
        <v>3</v>
      </c>
      <c r="D26" s="16" t="s">
        <v>74</v>
      </c>
      <c r="E26" s="17">
        <v>3</v>
      </c>
      <c r="F26" s="17">
        <v>5</v>
      </c>
      <c r="I26" s="26" t="s">
        <v>164</v>
      </c>
    </row>
    <row r="27" spans="1:9" s="18" customFormat="1" ht="18.75">
      <c r="A27" s="11"/>
      <c r="B27" s="12" t="s">
        <v>71</v>
      </c>
      <c r="C27" s="15">
        <v>4</v>
      </c>
      <c r="D27" s="16" t="s">
        <v>75</v>
      </c>
      <c r="E27" s="17">
        <v>3</v>
      </c>
      <c r="F27" s="17">
        <v>5</v>
      </c>
      <c r="I27" s="18" t="s">
        <v>156</v>
      </c>
    </row>
    <row r="28" spans="1:9" s="18" customFormat="1" ht="18.75">
      <c r="A28" s="11"/>
      <c r="B28" s="12" t="s">
        <v>71</v>
      </c>
      <c r="C28" s="15">
        <v>5</v>
      </c>
      <c r="D28" s="16" t="s">
        <v>76</v>
      </c>
      <c r="E28" s="17">
        <v>2</v>
      </c>
      <c r="F28" s="17">
        <v>3</v>
      </c>
      <c r="I28" s="18" t="s">
        <v>196</v>
      </c>
    </row>
    <row r="29" spans="1:9" s="18" customFormat="1" ht="18.75">
      <c r="A29" s="11"/>
      <c r="B29" s="12" t="s">
        <v>71</v>
      </c>
      <c r="C29" s="15">
        <v>6</v>
      </c>
      <c r="D29" s="16" t="s">
        <v>77</v>
      </c>
      <c r="E29" s="17">
        <v>2</v>
      </c>
      <c r="F29" s="17">
        <v>3</v>
      </c>
      <c r="I29"/>
    </row>
    <row r="30" spans="1:9" s="18" customFormat="1" ht="18.75">
      <c r="A30" s="11"/>
      <c r="B30" s="12" t="s">
        <v>71</v>
      </c>
      <c r="C30" s="15">
        <v>7</v>
      </c>
      <c r="D30" s="16" t="s">
        <v>78</v>
      </c>
      <c r="E30" s="17">
        <v>3</v>
      </c>
      <c r="F30" s="17">
        <v>5</v>
      </c>
      <c r="I30"/>
    </row>
    <row r="31" spans="1:9" s="18" customFormat="1" ht="18.75">
      <c r="A31" s="11"/>
      <c r="B31" s="12" t="s">
        <v>79</v>
      </c>
      <c r="C31" s="15">
        <v>1</v>
      </c>
      <c r="D31" s="16" t="s">
        <v>80</v>
      </c>
      <c r="E31" s="17">
        <v>4</v>
      </c>
      <c r="F31" s="17">
        <v>7</v>
      </c>
      <c r="I31"/>
    </row>
    <row r="32" spans="1:9" s="18" customFormat="1" ht="18.75">
      <c r="A32" s="11"/>
      <c r="B32" s="12" t="s">
        <v>79</v>
      </c>
      <c r="C32" s="15">
        <v>2</v>
      </c>
      <c r="D32" s="16" t="s">
        <v>76</v>
      </c>
      <c r="E32" s="17">
        <v>3</v>
      </c>
      <c r="F32" s="17">
        <v>5</v>
      </c>
      <c r="I32"/>
    </row>
    <row r="33" spans="1:9" s="18" customFormat="1" ht="18.75">
      <c r="A33" s="11"/>
      <c r="B33" s="12" t="s">
        <v>79</v>
      </c>
      <c r="C33" s="15">
        <v>3</v>
      </c>
      <c r="D33" s="16" t="s">
        <v>81</v>
      </c>
      <c r="E33" s="17">
        <v>4</v>
      </c>
      <c r="F33" s="17">
        <v>7</v>
      </c>
      <c r="I33"/>
    </row>
    <row r="34" spans="1:9" s="18" customFormat="1" ht="18.75">
      <c r="A34" s="11"/>
      <c r="B34" s="12" t="s">
        <v>79</v>
      </c>
      <c r="C34" s="15">
        <v>4</v>
      </c>
      <c r="D34" s="16" t="s">
        <v>82</v>
      </c>
      <c r="E34" s="17">
        <v>4</v>
      </c>
      <c r="F34" s="17">
        <v>7</v>
      </c>
      <c r="I34"/>
    </row>
    <row r="35" spans="1:9" s="18" customFormat="1" ht="18.75">
      <c r="A35" s="11"/>
      <c r="B35" s="12" t="s">
        <v>79</v>
      </c>
      <c r="C35" s="15">
        <v>5</v>
      </c>
      <c r="D35" s="16" t="s">
        <v>83</v>
      </c>
      <c r="E35" s="17">
        <v>3</v>
      </c>
      <c r="F35" s="17">
        <v>5</v>
      </c>
      <c r="I35"/>
    </row>
    <row r="36" spans="1:9" s="18" customFormat="1" ht="18.75">
      <c r="A36" s="11"/>
      <c r="B36" s="12" t="s">
        <v>79</v>
      </c>
      <c r="C36" s="15">
        <v>6</v>
      </c>
      <c r="D36" s="16" t="s">
        <v>84</v>
      </c>
      <c r="E36" s="17">
        <v>3</v>
      </c>
      <c r="F36" s="17">
        <v>5</v>
      </c>
      <c r="I36"/>
    </row>
    <row r="37" spans="1:9" s="18" customFormat="1" ht="18.75">
      <c r="A37" s="11"/>
      <c r="B37" s="12" t="s">
        <v>79</v>
      </c>
      <c r="C37" s="15">
        <v>7</v>
      </c>
      <c r="D37" s="16" t="s">
        <v>85</v>
      </c>
      <c r="E37" s="17">
        <v>4</v>
      </c>
      <c r="F37" s="17">
        <v>7</v>
      </c>
      <c r="I37"/>
    </row>
    <row r="38" spans="1:9" s="18" customFormat="1" ht="18.75">
      <c r="A38" s="11"/>
      <c r="B38" s="12" t="s">
        <v>86</v>
      </c>
      <c r="C38" s="15">
        <v>1</v>
      </c>
      <c r="D38" s="16" t="s">
        <v>87</v>
      </c>
      <c r="E38" s="17">
        <v>3</v>
      </c>
      <c r="F38" s="17">
        <v>5</v>
      </c>
      <c r="I38"/>
    </row>
    <row r="39" spans="1:9" s="18" customFormat="1" ht="18.75">
      <c r="A39" s="11"/>
      <c r="B39" s="12" t="s">
        <v>86</v>
      </c>
      <c r="C39" s="15">
        <v>2</v>
      </c>
      <c r="D39" s="16" t="s">
        <v>88</v>
      </c>
      <c r="E39" s="17">
        <v>3</v>
      </c>
      <c r="F39" s="17">
        <v>5</v>
      </c>
      <c r="I39"/>
    </row>
    <row r="40" spans="1:9" s="18" customFormat="1" ht="18.75">
      <c r="A40" s="11"/>
      <c r="B40" s="12" t="s">
        <v>86</v>
      </c>
      <c r="C40" s="15">
        <v>3</v>
      </c>
      <c r="D40" s="16" t="s">
        <v>89</v>
      </c>
      <c r="E40" s="17">
        <v>5</v>
      </c>
      <c r="F40" s="17">
        <v>8</v>
      </c>
      <c r="I40"/>
    </row>
    <row r="41" spans="1:9" s="18" customFormat="1" ht="18.75">
      <c r="A41" s="11"/>
      <c r="B41" s="12" t="s">
        <v>86</v>
      </c>
      <c r="C41" s="15">
        <v>4</v>
      </c>
      <c r="D41" s="16" t="s">
        <v>90</v>
      </c>
      <c r="E41" s="17">
        <v>3</v>
      </c>
      <c r="F41" s="17">
        <v>5</v>
      </c>
      <c r="I41"/>
    </row>
    <row r="42" spans="1:9" s="18" customFormat="1" ht="18.75">
      <c r="A42" s="11"/>
      <c r="B42" s="12" t="s">
        <v>86</v>
      </c>
      <c r="C42" s="15">
        <v>5</v>
      </c>
      <c r="D42" s="16" t="s">
        <v>91</v>
      </c>
      <c r="E42" s="17">
        <v>5</v>
      </c>
      <c r="F42" s="17">
        <v>8</v>
      </c>
      <c r="I42"/>
    </row>
    <row r="43" spans="1:9" s="18" customFormat="1" ht="18.75">
      <c r="A43" s="11"/>
      <c r="B43" s="12" t="s">
        <v>86</v>
      </c>
      <c r="C43" s="15">
        <v>6</v>
      </c>
      <c r="D43" s="16" t="s">
        <v>92</v>
      </c>
      <c r="E43" s="17">
        <v>4</v>
      </c>
      <c r="F43" s="17">
        <v>7</v>
      </c>
      <c r="I43"/>
    </row>
    <row r="44" spans="1:9" s="18" customFormat="1" ht="18.75">
      <c r="A44" s="11"/>
      <c r="B44" s="12" t="s">
        <v>86</v>
      </c>
      <c r="C44" s="15">
        <v>7</v>
      </c>
      <c r="D44" s="16" t="s">
        <v>93</v>
      </c>
      <c r="E44" s="17">
        <v>2</v>
      </c>
      <c r="F44" s="17">
        <v>3</v>
      </c>
      <c r="I44"/>
    </row>
    <row r="45" spans="1:9" s="18" customFormat="1" ht="18.75">
      <c r="A45" s="11"/>
      <c r="B45" s="12" t="s">
        <v>94</v>
      </c>
      <c r="C45" s="15">
        <v>1</v>
      </c>
      <c r="D45" s="16" t="s">
        <v>95</v>
      </c>
      <c r="E45" s="17">
        <v>4</v>
      </c>
      <c r="F45" s="17">
        <v>7</v>
      </c>
      <c r="I45"/>
    </row>
    <row r="46" spans="1:9" s="18" customFormat="1" ht="18.75">
      <c r="A46" s="11"/>
      <c r="B46" s="12" t="s">
        <v>94</v>
      </c>
      <c r="C46" s="15">
        <v>2</v>
      </c>
      <c r="D46" s="16" t="s">
        <v>96</v>
      </c>
      <c r="E46" s="17">
        <v>3</v>
      </c>
      <c r="F46" s="17">
        <v>5</v>
      </c>
      <c r="I46"/>
    </row>
    <row r="47" spans="1:9" s="18" customFormat="1" ht="18.75">
      <c r="A47" s="11"/>
      <c r="B47" s="12" t="s">
        <v>94</v>
      </c>
      <c r="C47" s="15">
        <v>3</v>
      </c>
      <c r="D47" s="16" t="s">
        <v>97</v>
      </c>
      <c r="E47" s="17">
        <v>4</v>
      </c>
      <c r="F47" s="17">
        <v>7</v>
      </c>
      <c r="I47"/>
    </row>
    <row r="48" spans="1:9" s="18" customFormat="1" ht="18.75">
      <c r="A48" s="11"/>
      <c r="B48" s="12" t="s">
        <v>94</v>
      </c>
      <c r="C48" s="15">
        <v>4</v>
      </c>
      <c r="D48" s="16" t="s">
        <v>97</v>
      </c>
      <c r="E48" s="17">
        <v>4</v>
      </c>
      <c r="F48" s="17">
        <v>7</v>
      </c>
      <c r="I48"/>
    </row>
    <row r="49" spans="1:9" s="18" customFormat="1" ht="18.75">
      <c r="A49" s="11"/>
      <c r="B49" s="12" t="s">
        <v>94</v>
      </c>
      <c r="C49" s="15">
        <v>5</v>
      </c>
      <c r="D49" s="16" t="s">
        <v>97</v>
      </c>
      <c r="E49" s="17">
        <v>4</v>
      </c>
      <c r="F49" s="17">
        <v>7</v>
      </c>
      <c r="I49"/>
    </row>
    <row r="50" spans="1:9" s="18" customFormat="1" ht="18.75">
      <c r="A50" s="11"/>
      <c r="B50" s="12" t="s">
        <v>94</v>
      </c>
      <c r="C50" s="15">
        <v>6</v>
      </c>
      <c r="D50" s="16" t="s">
        <v>98</v>
      </c>
      <c r="E50" s="17">
        <v>3</v>
      </c>
      <c r="F50" s="17">
        <v>5</v>
      </c>
      <c r="I50"/>
    </row>
    <row r="51" spans="1:9" s="18" customFormat="1" ht="18.75">
      <c r="A51" s="11"/>
      <c r="B51" s="12" t="s">
        <v>94</v>
      </c>
      <c r="C51" s="15">
        <v>7</v>
      </c>
      <c r="D51" s="16" t="s">
        <v>99</v>
      </c>
      <c r="E51" s="17">
        <v>4</v>
      </c>
      <c r="F51" s="17">
        <v>7</v>
      </c>
      <c r="I51"/>
    </row>
    <row r="52" spans="1:9" s="18" customFormat="1" ht="18.75">
      <c r="A52" s="11"/>
      <c r="B52" s="12" t="s">
        <v>100</v>
      </c>
      <c r="C52" s="15">
        <v>1</v>
      </c>
      <c r="D52" s="16" t="s">
        <v>101</v>
      </c>
      <c r="E52" s="17">
        <v>4</v>
      </c>
      <c r="F52" s="17">
        <v>7</v>
      </c>
      <c r="I52"/>
    </row>
    <row r="53" spans="1:9" s="18" customFormat="1" ht="18.75">
      <c r="A53" s="11"/>
      <c r="B53" s="12" t="s">
        <v>100</v>
      </c>
      <c r="C53" s="15">
        <v>2</v>
      </c>
      <c r="D53" s="16" t="s">
        <v>102</v>
      </c>
      <c r="E53" s="17">
        <v>4</v>
      </c>
      <c r="F53" s="17">
        <v>7</v>
      </c>
      <c r="I53"/>
    </row>
    <row r="54" spans="1:9" s="18" customFormat="1" ht="18.75">
      <c r="A54" s="11"/>
      <c r="B54" s="12" t="s">
        <v>100</v>
      </c>
      <c r="C54" s="15">
        <v>3</v>
      </c>
      <c r="D54" s="16" t="s">
        <v>103</v>
      </c>
      <c r="E54" s="17">
        <v>4</v>
      </c>
      <c r="F54" s="17">
        <v>7</v>
      </c>
      <c r="I54"/>
    </row>
    <row r="55" spans="1:9" s="18" customFormat="1" ht="18.75">
      <c r="A55" s="11"/>
      <c r="B55" s="12" t="s">
        <v>100</v>
      </c>
      <c r="C55" s="15">
        <v>4</v>
      </c>
      <c r="D55" s="16" t="s">
        <v>104</v>
      </c>
      <c r="E55" s="17">
        <v>4</v>
      </c>
      <c r="F55" s="17">
        <v>7</v>
      </c>
      <c r="I55"/>
    </row>
    <row r="56" spans="1:9" s="18" customFormat="1" ht="18.75">
      <c r="A56" s="11"/>
      <c r="B56" s="12" t="s">
        <v>100</v>
      </c>
      <c r="C56" s="15">
        <v>5</v>
      </c>
      <c r="D56" s="16" t="s">
        <v>105</v>
      </c>
      <c r="E56" s="17">
        <v>4</v>
      </c>
      <c r="F56" s="17">
        <v>7</v>
      </c>
      <c r="I56"/>
    </row>
    <row r="57" spans="1:9" s="18" customFormat="1" ht="18.75">
      <c r="A57" s="11"/>
      <c r="B57" s="12" t="s">
        <v>100</v>
      </c>
      <c r="C57" s="15">
        <v>6</v>
      </c>
      <c r="D57" s="16" t="s">
        <v>106</v>
      </c>
      <c r="E57" s="17">
        <v>3</v>
      </c>
      <c r="F57" s="17">
        <v>5</v>
      </c>
      <c r="I57"/>
    </row>
    <row r="58" spans="1:9" s="18" customFormat="1" ht="18.75">
      <c r="A58" s="11"/>
      <c r="B58" s="12" t="s">
        <v>100</v>
      </c>
      <c r="C58" s="15">
        <v>7</v>
      </c>
      <c r="D58" s="16" t="s">
        <v>107</v>
      </c>
      <c r="E58" s="17">
        <v>3</v>
      </c>
      <c r="F58" s="17">
        <v>5</v>
      </c>
      <c r="I58"/>
    </row>
    <row r="59" spans="1:9" s="18" customFormat="1" ht="18.75">
      <c r="A59" s="11"/>
      <c r="B59" s="12" t="s">
        <v>108</v>
      </c>
      <c r="C59" s="15">
        <v>1</v>
      </c>
      <c r="D59" s="16" t="s">
        <v>109</v>
      </c>
      <c r="E59" s="17">
        <v>3</v>
      </c>
      <c r="F59" s="17">
        <v>5</v>
      </c>
      <c r="I59"/>
    </row>
    <row r="60" spans="1:9" s="18" customFormat="1" ht="18.75">
      <c r="A60" s="11"/>
      <c r="B60" s="12" t="s">
        <v>108</v>
      </c>
      <c r="C60" s="15">
        <v>2</v>
      </c>
      <c r="D60" s="16" t="s">
        <v>110</v>
      </c>
      <c r="E60" s="17">
        <v>3</v>
      </c>
      <c r="F60" s="17">
        <v>5</v>
      </c>
      <c r="I60"/>
    </row>
    <row r="61" spans="1:9" s="18" customFormat="1" ht="18.75">
      <c r="A61" s="11"/>
      <c r="B61" s="12" t="s">
        <v>108</v>
      </c>
      <c r="C61" s="15">
        <v>3</v>
      </c>
      <c r="D61" s="16" t="s">
        <v>111</v>
      </c>
      <c r="E61" s="17">
        <v>5</v>
      </c>
      <c r="F61" s="17">
        <v>8</v>
      </c>
      <c r="I61"/>
    </row>
    <row r="62" spans="1:9" s="18" customFormat="1" ht="18.75">
      <c r="A62" s="11"/>
      <c r="B62" s="12" t="s">
        <v>108</v>
      </c>
      <c r="C62" s="15">
        <v>4</v>
      </c>
      <c r="D62" s="16" t="s">
        <v>112</v>
      </c>
      <c r="E62" s="17">
        <v>5</v>
      </c>
      <c r="F62" s="17">
        <v>8</v>
      </c>
      <c r="I62"/>
    </row>
    <row r="63" spans="1:9" s="18" customFormat="1" ht="18.75">
      <c r="A63" s="11"/>
      <c r="B63" s="12" t="s">
        <v>108</v>
      </c>
      <c r="C63" s="15">
        <v>5</v>
      </c>
      <c r="D63" s="16" t="s">
        <v>113</v>
      </c>
      <c r="E63" s="17">
        <v>5</v>
      </c>
      <c r="F63" s="17">
        <v>8</v>
      </c>
      <c r="I63"/>
    </row>
    <row r="64" spans="1:9" s="18" customFormat="1" ht="18.75">
      <c r="A64" s="11"/>
      <c r="B64" s="12" t="s">
        <v>108</v>
      </c>
      <c r="C64" s="15">
        <v>6</v>
      </c>
      <c r="D64" s="16" t="s">
        <v>114</v>
      </c>
      <c r="E64" s="17">
        <v>5</v>
      </c>
      <c r="F64" s="17">
        <v>8</v>
      </c>
      <c r="I64"/>
    </row>
    <row r="65" spans="1:9" s="18" customFormat="1" ht="18.75">
      <c r="A65" s="11"/>
      <c r="B65" s="12" t="s">
        <v>115</v>
      </c>
      <c r="C65" s="15">
        <v>1</v>
      </c>
      <c r="D65" s="16" t="s">
        <v>116</v>
      </c>
      <c r="E65" s="17">
        <v>5</v>
      </c>
      <c r="F65" s="17">
        <v>8</v>
      </c>
      <c r="I65"/>
    </row>
    <row r="66" spans="1:9" s="18" customFormat="1" ht="18.75">
      <c r="A66" s="11"/>
      <c r="B66" s="12" t="s">
        <v>115</v>
      </c>
      <c r="C66" s="15">
        <v>2</v>
      </c>
      <c r="D66" s="16" t="s">
        <v>117</v>
      </c>
      <c r="E66" s="17">
        <v>5</v>
      </c>
      <c r="F66" s="17">
        <v>8</v>
      </c>
      <c r="I66"/>
    </row>
    <row r="67" spans="1:9" s="18" customFormat="1" ht="18.75">
      <c r="A67" s="11"/>
      <c r="B67" s="12" t="s">
        <v>115</v>
      </c>
      <c r="C67" s="15">
        <v>3</v>
      </c>
      <c r="D67" s="16" t="s">
        <v>118</v>
      </c>
      <c r="E67" s="17">
        <v>5</v>
      </c>
      <c r="F67" s="17">
        <v>8</v>
      </c>
      <c r="I67"/>
    </row>
    <row r="68" spans="1:9" s="18" customFormat="1" ht="18.75">
      <c r="A68" s="11"/>
      <c r="B68" s="12" t="s">
        <v>115</v>
      </c>
      <c r="C68" s="15">
        <v>4</v>
      </c>
      <c r="D68" s="16" t="s">
        <v>119</v>
      </c>
      <c r="E68" s="17">
        <v>5</v>
      </c>
      <c r="F68" s="17">
        <v>8</v>
      </c>
      <c r="I68"/>
    </row>
    <row r="69" spans="1:9" s="18" customFormat="1" ht="18.75">
      <c r="A69" s="11"/>
      <c r="B69" s="12" t="s">
        <v>115</v>
      </c>
      <c r="C69" s="15">
        <v>5</v>
      </c>
      <c r="D69" s="16" t="s">
        <v>120</v>
      </c>
      <c r="E69" s="17">
        <v>4</v>
      </c>
      <c r="F69" s="17">
        <v>7</v>
      </c>
      <c r="I69"/>
    </row>
    <row r="70" spans="1:9" s="18" customFormat="1" ht="18.75">
      <c r="A70" s="11"/>
      <c r="B70" s="12" t="s">
        <v>115</v>
      </c>
      <c r="C70" s="15">
        <v>6</v>
      </c>
      <c r="D70" s="16" t="s">
        <v>121</v>
      </c>
      <c r="E70" s="17">
        <v>3</v>
      </c>
      <c r="F70" s="17">
        <v>5</v>
      </c>
      <c r="I70"/>
    </row>
    <row r="71" spans="1:9" s="18" customFormat="1" ht="18.75">
      <c r="A71" s="11"/>
      <c r="B71" s="12" t="s">
        <v>115</v>
      </c>
      <c r="C71" s="15">
        <v>7</v>
      </c>
      <c r="D71" s="16" t="s">
        <v>122</v>
      </c>
      <c r="E71" s="17">
        <v>3</v>
      </c>
      <c r="F71" s="17">
        <v>5</v>
      </c>
      <c r="I71"/>
    </row>
    <row r="72" spans="1:9" s="18" customFormat="1" ht="18.75">
      <c r="A72" s="11"/>
      <c r="B72" s="12" t="s">
        <v>115</v>
      </c>
      <c r="C72" s="15">
        <v>8</v>
      </c>
      <c r="D72" s="16" t="s">
        <v>123</v>
      </c>
      <c r="E72" s="17">
        <v>3</v>
      </c>
      <c r="F72" s="17">
        <v>5</v>
      </c>
      <c r="I72"/>
    </row>
    <row r="73" spans="1:9" s="18" customFormat="1" ht="18.75">
      <c r="A73" s="11"/>
      <c r="B73" s="12" t="s">
        <v>124</v>
      </c>
      <c r="C73" s="15">
        <v>1</v>
      </c>
      <c r="D73" s="16" t="s">
        <v>125</v>
      </c>
      <c r="E73" s="17">
        <v>3</v>
      </c>
      <c r="F73" s="17">
        <v>5</v>
      </c>
      <c r="I73"/>
    </row>
    <row r="74" spans="1:9" s="18" customFormat="1" ht="18.75">
      <c r="A74" s="11"/>
      <c r="B74" s="12" t="s">
        <v>124</v>
      </c>
      <c r="C74" s="15">
        <v>2</v>
      </c>
      <c r="D74" s="16" t="s">
        <v>126</v>
      </c>
      <c r="E74" s="17">
        <v>3</v>
      </c>
      <c r="F74" s="17">
        <v>5</v>
      </c>
      <c r="I74"/>
    </row>
    <row r="75" spans="1:9" s="18" customFormat="1" ht="18.75">
      <c r="A75" s="11"/>
      <c r="B75" s="12" t="s">
        <v>124</v>
      </c>
      <c r="C75" s="15">
        <v>3</v>
      </c>
      <c r="D75" s="16" t="s">
        <v>127</v>
      </c>
      <c r="E75" s="17">
        <v>3</v>
      </c>
      <c r="F75" s="17">
        <v>5</v>
      </c>
      <c r="I75"/>
    </row>
    <row r="76" spans="1:9" s="18" customFormat="1" ht="18.75">
      <c r="A76" s="11"/>
      <c r="B76" s="12" t="s">
        <v>124</v>
      </c>
      <c r="C76" s="15">
        <v>4</v>
      </c>
      <c r="D76" s="16" t="s">
        <v>128</v>
      </c>
      <c r="E76" s="17">
        <v>5</v>
      </c>
      <c r="F76" s="17">
        <v>8</v>
      </c>
      <c r="I76"/>
    </row>
    <row r="77" spans="1:9" s="18" customFormat="1" ht="18.75">
      <c r="A77" s="11"/>
      <c r="B77" s="12" t="s">
        <v>124</v>
      </c>
      <c r="C77" s="15">
        <v>5</v>
      </c>
      <c r="D77" s="16" t="s">
        <v>129</v>
      </c>
      <c r="E77" s="17">
        <v>4</v>
      </c>
      <c r="F77" s="17">
        <v>7</v>
      </c>
      <c r="I77"/>
    </row>
    <row r="78" spans="1:9" s="18" customFormat="1" ht="18.75">
      <c r="A78" s="11"/>
      <c r="B78" s="12" t="s">
        <v>124</v>
      </c>
      <c r="C78" s="15">
        <v>6</v>
      </c>
      <c r="D78" s="16" t="s">
        <v>58</v>
      </c>
      <c r="E78" s="17">
        <v>5</v>
      </c>
      <c r="F78" s="17">
        <v>8</v>
      </c>
      <c r="I78"/>
    </row>
    <row r="79" spans="1:9" s="18" customFormat="1" ht="18.75">
      <c r="A79" s="11"/>
      <c r="B79" s="12" t="s">
        <v>124</v>
      </c>
      <c r="C79" s="15">
        <v>7</v>
      </c>
      <c r="D79" s="16" t="s">
        <v>130</v>
      </c>
      <c r="E79" s="17">
        <v>3</v>
      </c>
      <c r="F79" s="17">
        <v>5</v>
      </c>
      <c r="I79"/>
    </row>
    <row r="80" spans="1:9" s="18" customFormat="1" ht="37.5">
      <c r="A80" s="11"/>
      <c r="B80" s="12" t="s">
        <v>131</v>
      </c>
      <c r="C80" s="12">
        <v>1</v>
      </c>
      <c r="D80" s="20" t="s">
        <v>132</v>
      </c>
      <c r="E80" s="21">
        <v>4</v>
      </c>
      <c r="F80" s="17">
        <v>7</v>
      </c>
      <c r="I80"/>
    </row>
    <row r="81" spans="1:9" s="18" customFormat="1" ht="18.75">
      <c r="A81" s="11"/>
      <c r="B81" s="12" t="s">
        <v>131</v>
      </c>
      <c r="C81" s="15">
        <v>2</v>
      </c>
      <c r="D81" s="16" t="s">
        <v>133</v>
      </c>
      <c r="E81" s="17">
        <v>4</v>
      </c>
      <c r="F81" s="17">
        <v>7</v>
      </c>
      <c r="I81"/>
    </row>
    <row r="82" spans="1:9" s="18" customFormat="1" ht="75">
      <c r="A82" s="11"/>
      <c r="B82" s="12" t="s">
        <v>131</v>
      </c>
      <c r="C82" s="12">
        <v>3</v>
      </c>
      <c r="D82" s="20" t="s">
        <v>134</v>
      </c>
      <c r="E82" s="21">
        <v>4</v>
      </c>
      <c r="F82" s="17">
        <v>7</v>
      </c>
      <c r="I82"/>
    </row>
    <row r="83" spans="1:9" s="18" customFormat="1" ht="37.5">
      <c r="A83" s="11"/>
      <c r="B83" s="12" t="s">
        <v>131</v>
      </c>
      <c r="C83" s="12">
        <v>4</v>
      </c>
      <c r="D83" s="20" t="s">
        <v>135</v>
      </c>
      <c r="E83" s="21">
        <v>4</v>
      </c>
      <c r="F83" s="17">
        <v>7</v>
      </c>
      <c r="I83"/>
    </row>
    <row r="84" spans="1:9" s="18" customFormat="1" ht="56.25">
      <c r="A84" s="11"/>
      <c r="B84" s="12" t="s">
        <v>131</v>
      </c>
      <c r="C84" s="12">
        <v>5</v>
      </c>
      <c r="D84" s="20" t="s">
        <v>136</v>
      </c>
      <c r="E84" s="21">
        <v>4</v>
      </c>
      <c r="F84" s="17">
        <v>7</v>
      </c>
      <c r="I84"/>
    </row>
    <row r="85" spans="1:9" s="18" customFormat="1" ht="18.75">
      <c r="A85" s="11"/>
      <c r="B85" s="12" t="s">
        <v>131</v>
      </c>
      <c r="C85" s="15">
        <v>6</v>
      </c>
      <c r="D85" s="16" t="s">
        <v>137</v>
      </c>
      <c r="E85" s="17">
        <v>4</v>
      </c>
      <c r="F85" s="17">
        <v>7</v>
      </c>
      <c r="I85"/>
    </row>
    <row r="86" spans="1:9" s="18" customFormat="1" ht="131.25">
      <c r="A86" s="11"/>
      <c r="B86" s="12" t="s">
        <v>131</v>
      </c>
      <c r="C86" s="12">
        <v>7</v>
      </c>
      <c r="D86" s="20" t="s">
        <v>138</v>
      </c>
      <c r="E86" s="21">
        <v>4</v>
      </c>
      <c r="F86" s="17">
        <v>7</v>
      </c>
      <c r="I86"/>
    </row>
    <row r="87" spans="1:9" s="18" customFormat="1" ht="93.75">
      <c r="A87" s="11"/>
      <c r="B87" s="12" t="s">
        <v>131</v>
      </c>
      <c r="C87" s="12">
        <v>8</v>
      </c>
      <c r="D87" s="20" t="s">
        <v>139</v>
      </c>
      <c r="E87" s="21">
        <v>5</v>
      </c>
      <c r="F87" s="17">
        <v>8</v>
      </c>
      <c r="I87"/>
    </row>
    <row r="88" spans="1:9" s="18" customFormat="1" ht="18.75">
      <c r="A88" s="11"/>
      <c r="B88" s="12" t="s">
        <v>140</v>
      </c>
      <c r="C88" s="15">
        <v>1</v>
      </c>
      <c r="D88" s="16" t="s">
        <v>141</v>
      </c>
      <c r="E88" s="17">
        <v>4</v>
      </c>
      <c r="F88" s="17">
        <v>7</v>
      </c>
      <c r="I88"/>
    </row>
    <row r="89" spans="1:9" s="18" customFormat="1" ht="18.75">
      <c r="A89" s="11"/>
      <c r="B89" s="12" t="s">
        <v>140</v>
      </c>
      <c r="C89" s="15">
        <v>2</v>
      </c>
      <c r="D89" s="16" t="s">
        <v>142</v>
      </c>
      <c r="E89" s="17">
        <v>3</v>
      </c>
      <c r="F89" s="17">
        <v>5</v>
      </c>
      <c r="I89"/>
    </row>
    <row r="90" spans="1:9" s="18" customFormat="1" ht="18.75">
      <c r="A90" s="11"/>
      <c r="B90" s="12" t="s">
        <v>140</v>
      </c>
      <c r="C90" s="15">
        <v>3</v>
      </c>
      <c r="D90" s="16" t="s">
        <v>143</v>
      </c>
      <c r="E90" s="17">
        <v>3</v>
      </c>
      <c r="F90" s="17">
        <v>5</v>
      </c>
      <c r="I90"/>
    </row>
    <row r="91" spans="1:9" s="18" customFormat="1" ht="18.75">
      <c r="A91" s="11"/>
      <c r="B91" s="12" t="s">
        <v>140</v>
      </c>
      <c r="C91" s="15">
        <v>4</v>
      </c>
      <c r="D91" s="16" t="s">
        <v>144</v>
      </c>
      <c r="E91" s="17">
        <v>5</v>
      </c>
      <c r="F91" s="17">
        <v>8</v>
      </c>
      <c r="I91"/>
    </row>
    <row r="92" spans="1:9" s="18" customFormat="1" ht="18.75">
      <c r="A92" s="11"/>
      <c r="B92" s="12" t="s">
        <v>140</v>
      </c>
      <c r="C92" s="15">
        <v>5</v>
      </c>
      <c r="D92" s="16" t="s">
        <v>145</v>
      </c>
      <c r="E92" s="17">
        <v>4</v>
      </c>
      <c r="F92" s="17">
        <v>7</v>
      </c>
      <c r="I92"/>
    </row>
    <row r="93" spans="1:9" s="18" customFormat="1" ht="18.75">
      <c r="A93" s="11"/>
      <c r="B93" s="12" t="s">
        <v>140</v>
      </c>
      <c r="C93" s="15">
        <v>6</v>
      </c>
      <c r="D93" s="16" t="s">
        <v>146</v>
      </c>
      <c r="E93" s="17">
        <v>4</v>
      </c>
      <c r="F93" s="17">
        <v>7</v>
      </c>
      <c r="I93"/>
    </row>
    <row r="94" spans="1:9" s="18" customFormat="1" ht="18.75">
      <c r="A94" s="11"/>
      <c r="B94" s="12" t="s">
        <v>140</v>
      </c>
      <c r="C94" s="15">
        <v>7</v>
      </c>
      <c r="D94" s="16" t="s">
        <v>147</v>
      </c>
      <c r="E94" s="17">
        <v>3</v>
      </c>
      <c r="F94" s="17">
        <v>5</v>
      </c>
      <c r="I94"/>
    </row>
    <row r="95" spans="1:9" s="18" customFormat="1" ht="18.75">
      <c r="A95" s="11"/>
      <c r="B95" s="12" t="s">
        <v>148</v>
      </c>
      <c r="C95" s="15">
        <v>1</v>
      </c>
      <c r="D95" s="16" t="s">
        <v>149</v>
      </c>
      <c r="E95" s="17">
        <v>4</v>
      </c>
      <c r="F95" s="17">
        <v>7</v>
      </c>
      <c r="I95"/>
    </row>
    <row r="96" spans="1:9" s="18" customFormat="1" ht="18.75">
      <c r="A96" s="11"/>
      <c r="B96" s="12" t="s">
        <v>148</v>
      </c>
      <c r="C96" s="15">
        <v>2</v>
      </c>
      <c r="D96" s="16" t="s">
        <v>150</v>
      </c>
      <c r="E96" s="17">
        <v>5</v>
      </c>
      <c r="F96" s="17">
        <v>8</v>
      </c>
      <c r="I96"/>
    </row>
    <row r="97" spans="1:9" s="18" customFormat="1" ht="18.75">
      <c r="A97" s="11"/>
      <c r="B97" s="12" t="s">
        <v>148</v>
      </c>
      <c r="C97" s="15">
        <v>3</v>
      </c>
      <c r="D97" s="16" t="s">
        <v>151</v>
      </c>
      <c r="E97" s="17">
        <v>4</v>
      </c>
      <c r="F97" s="17">
        <v>7</v>
      </c>
      <c r="I97"/>
    </row>
    <row r="98" spans="1:9" s="18" customFormat="1" ht="18.75">
      <c r="A98" s="11"/>
      <c r="B98" s="12" t="s">
        <v>148</v>
      </c>
      <c r="C98" s="15">
        <v>4</v>
      </c>
      <c r="D98" s="16" t="s">
        <v>152</v>
      </c>
      <c r="E98" s="17">
        <v>2</v>
      </c>
      <c r="F98" s="17">
        <v>3</v>
      </c>
      <c r="I98"/>
    </row>
    <row r="99" spans="1:9" s="18" customFormat="1" ht="18.75">
      <c r="A99" s="11"/>
      <c r="B99" s="12" t="s">
        <v>148</v>
      </c>
      <c r="C99" s="15">
        <v>5</v>
      </c>
      <c r="D99" s="16" t="s">
        <v>153</v>
      </c>
      <c r="E99" s="17">
        <v>4</v>
      </c>
      <c r="F99" s="17">
        <v>7</v>
      </c>
      <c r="I99"/>
    </row>
    <row r="100" spans="1:9" s="18" customFormat="1" ht="18.75">
      <c r="A100" s="11"/>
      <c r="B100" s="12" t="s">
        <v>148</v>
      </c>
      <c r="C100" s="15">
        <v>6</v>
      </c>
      <c r="D100" s="16" t="s">
        <v>154</v>
      </c>
      <c r="E100" s="17">
        <v>3</v>
      </c>
      <c r="F100" s="17">
        <v>5</v>
      </c>
      <c r="I100"/>
    </row>
    <row r="101" spans="1:9" s="18" customFormat="1" ht="18.75">
      <c r="A101" s="11"/>
      <c r="B101" s="12" t="s">
        <v>148</v>
      </c>
      <c r="C101" s="15">
        <v>7</v>
      </c>
      <c r="D101" s="16" t="s">
        <v>155</v>
      </c>
      <c r="E101" s="17">
        <v>3</v>
      </c>
      <c r="F101" s="17">
        <v>5</v>
      </c>
      <c r="I101"/>
    </row>
    <row r="102" spans="1:9" s="18" customFormat="1" ht="18.75">
      <c r="A102" s="11"/>
      <c r="B102" s="12" t="s">
        <v>156</v>
      </c>
      <c r="C102" s="15">
        <v>1</v>
      </c>
      <c r="D102" s="16" t="s">
        <v>157</v>
      </c>
      <c r="E102" s="17">
        <v>4</v>
      </c>
      <c r="F102" s="17">
        <v>7</v>
      </c>
      <c r="I102"/>
    </row>
    <row r="103" spans="1:9" s="18" customFormat="1" ht="37.5">
      <c r="A103" s="11"/>
      <c r="B103" s="12" t="s">
        <v>156</v>
      </c>
      <c r="C103" s="12">
        <v>2</v>
      </c>
      <c r="D103" s="20" t="s">
        <v>158</v>
      </c>
      <c r="E103" s="21">
        <v>3</v>
      </c>
      <c r="F103" s="17">
        <v>5</v>
      </c>
      <c r="I103"/>
    </row>
    <row r="104" spans="1:9" s="18" customFormat="1" ht="18.75">
      <c r="A104" s="11"/>
      <c r="B104" s="12" t="s">
        <v>156</v>
      </c>
      <c r="C104" s="15">
        <v>3</v>
      </c>
      <c r="D104" s="16" t="s">
        <v>159</v>
      </c>
      <c r="E104" s="17">
        <v>3</v>
      </c>
      <c r="F104" s="17">
        <v>5</v>
      </c>
      <c r="I104"/>
    </row>
    <row r="105" spans="1:9" s="18" customFormat="1" ht="18.75">
      <c r="A105" s="11"/>
      <c r="B105" s="12" t="s">
        <v>156</v>
      </c>
      <c r="C105" s="15">
        <v>4</v>
      </c>
      <c r="D105" s="16" t="s">
        <v>160</v>
      </c>
      <c r="E105" s="17">
        <v>4</v>
      </c>
      <c r="F105" s="17">
        <v>7</v>
      </c>
      <c r="I105"/>
    </row>
    <row r="106" spans="1:9" s="18" customFormat="1" ht="18.75">
      <c r="A106" s="11"/>
      <c r="B106" s="12" t="s">
        <v>156</v>
      </c>
      <c r="C106" s="15">
        <v>5</v>
      </c>
      <c r="D106" s="16" t="s">
        <v>161</v>
      </c>
      <c r="E106" s="17">
        <v>3</v>
      </c>
      <c r="F106" s="17">
        <v>5</v>
      </c>
      <c r="I106"/>
    </row>
    <row r="107" spans="1:9" s="18" customFormat="1" ht="18.75">
      <c r="A107" s="11"/>
      <c r="B107" s="12" t="s">
        <v>156</v>
      </c>
      <c r="C107" s="15">
        <v>6</v>
      </c>
      <c r="D107" s="16" t="s">
        <v>162</v>
      </c>
      <c r="E107" s="17">
        <v>4</v>
      </c>
      <c r="F107" s="17">
        <v>7</v>
      </c>
      <c r="I107"/>
    </row>
    <row r="108" spans="1:9" s="18" customFormat="1" ht="18.75">
      <c r="A108" s="11"/>
      <c r="B108" s="12" t="s">
        <v>156</v>
      </c>
      <c r="C108" s="15">
        <v>7</v>
      </c>
      <c r="D108" s="16" t="s">
        <v>163</v>
      </c>
      <c r="E108" s="17">
        <v>4</v>
      </c>
      <c r="F108" s="17">
        <v>7</v>
      </c>
      <c r="I108"/>
    </row>
    <row r="109" spans="1:9" s="26" customFormat="1" ht="18.75">
      <c r="A109" s="22"/>
      <c r="B109" s="12" t="s">
        <v>164</v>
      </c>
      <c r="C109" s="23">
        <v>1</v>
      </c>
      <c r="D109" s="24" t="s">
        <v>165</v>
      </c>
      <c r="E109" s="25">
        <v>4</v>
      </c>
      <c r="F109" s="17">
        <v>7</v>
      </c>
      <c r="I109"/>
    </row>
    <row r="110" spans="1:9" s="26" customFormat="1" ht="18.75">
      <c r="A110" s="22"/>
      <c r="B110" s="12" t="s">
        <v>164</v>
      </c>
      <c r="C110" s="23">
        <v>2</v>
      </c>
      <c r="D110" s="24" t="s">
        <v>166</v>
      </c>
      <c r="E110" s="25">
        <v>3</v>
      </c>
      <c r="F110" s="17">
        <v>5</v>
      </c>
      <c r="I110"/>
    </row>
    <row r="111" spans="1:9" s="26" customFormat="1" ht="18.75">
      <c r="A111" s="22"/>
      <c r="B111" s="12" t="s">
        <v>164</v>
      </c>
      <c r="C111" s="23">
        <v>3</v>
      </c>
      <c r="D111" s="24" t="s">
        <v>167</v>
      </c>
      <c r="E111" s="25">
        <v>4</v>
      </c>
      <c r="F111" s="17">
        <v>7</v>
      </c>
      <c r="I111"/>
    </row>
    <row r="112" spans="1:9" s="26" customFormat="1" ht="18.75">
      <c r="A112" s="22"/>
      <c r="B112" s="12" t="s">
        <v>164</v>
      </c>
      <c r="C112" s="23">
        <v>4</v>
      </c>
      <c r="D112" s="24" t="s">
        <v>168</v>
      </c>
      <c r="E112" s="25">
        <v>3</v>
      </c>
      <c r="F112" s="17">
        <v>5</v>
      </c>
      <c r="I112"/>
    </row>
    <row r="113" spans="1:9" s="26" customFormat="1" ht="18.75">
      <c r="A113" s="22"/>
      <c r="B113" s="12" t="s">
        <v>164</v>
      </c>
      <c r="C113" s="23">
        <v>5</v>
      </c>
      <c r="D113" s="24" t="s">
        <v>169</v>
      </c>
      <c r="E113" s="25">
        <v>4</v>
      </c>
      <c r="F113" s="17">
        <v>7</v>
      </c>
      <c r="I113"/>
    </row>
    <row r="114" spans="1:9" s="26" customFormat="1" ht="18.75">
      <c r="A114" s="22"/>
      <c r="B114" s="12" t="s">
        <v>164</v>
      </c>
      <c r="C114" s="23">
        <v>6</v>
      </c>
      <c r="D114" s="24" t="s">
        <v>170</v>
      </c>
      <c r="E114" s="25">
        <v>3</v>
      </c>
      <c r="F114" s="17">
        <v>5</v>
      </c>
      <c r="I114"/>
    </row>
    <row r="115" spans="1:9" s="26" customFormat="1" ht="18.75">
      <c r="A115" s="22"/>
      <c r="B115" s="12" t="s">
        <v>164</v>
      </c>
      <c r="C115" s="23">
        <v>7</v>
      </c>
      <c r="D115" s="24" t="s">
        <v>171</v>
      </c>
      <c r="E115" s="25">
        <v>5</v>
      </c>
      <c r="F115" s="17">
        <v>8</v>
      </c>
      <c r="I115"/>
    </row>
    <row r="116" spans="1:9" s="18" customFormat="1" ht="18.75">
      <c r="A116" s="11"/>
      <c r="B116" s="12" t="s">
        <v>172</v>
      </c>
      <c r="C116" s="15">
        <v>1</v>
      </c>
      <c r="D116" s="16" t="s">
        <v>173</v>
      </c>
      <c r="E116" s="17">
        <v>3</v>
      </c>
      <c r="F116" s="17">
        <v>5</v>
      </c>
      <c r="I116"/>
    </row>
    <row r="117" spans="1:9" s="18" customFormat="1" ht="18.75">
      <c r="A117" s="11"/>
      <c r="B117" s="12" t="s">
        <v>172</v>
      </c>
      <c r="C117" s="15">
        <v>2</v>
      </c>
      <c r="D117" s="16" t="s">
        <v>174</v>
      </c>
      <c r="E117" s="17">
        <v>3</v>
      </c>
      <c r="F117" s="17">
        <v>5</v>
      </c>
      <c r="I117"/>
    </row>
    <row r="118" spans="1:9" s="18" customFormat="1" ht="18.75">
      <c r="A118" s="11"/>
      <c r="B118" s="12" t="s">
        <v>172</v>
      </c>
      <c r="C118" s="15">
        <v>3</v>
      </c>
      <c r="D118" s="16" t="s">
        <v>175</v>
      </c>
      <c r="E118" s="17">
        <v>4</v>
      </c>
      <c r="F118" s="17">
        <v>7</v>
      </c>
      <c r="I118"/>
    </row>
    <row r="119" spans="1:9" s="18" customFormat="1" ht="18.75">
      <c r="A119" s="11"/>
      <c r="B119" s="12" t="s">
        <v>172</v>
      </c>
      <c r="C119" s="15">
        <v>4</v>
      </c>
      <c r="D119" s="16" t="s">
        <v>176</v>
      </c>
      <c r="E119" s="17">
        <v>4</v>
      </c>
      <c r="F119" s="17">
        <v>7</v>
      </c>
      <c r="I119"/>
    </row>
    <row r="120" spans="1:9" s="18" customFormat="1" ht="18.75">
      <c r="A120" s="11"/>
      <c r="B120" s="12" t="s">
        <v>172</v>
      </c>
      <c r="C120" s="15">
        <v>5</v>
      </c>
      <c r="D120" s="16" t="s">
        <v>177</v>
      </c>
      <c r="E120" s="17">
        <v>3</v>
      </c>
      <c r="F120" s="17">
        <v>5</v>
      </c>
      <c r="I120"/>
    </row>
    <row r="121" spans="1:9" s="18" customFormat="1" ht="18.75">
      <c r="A121" s="11"/>
      <c r="B121" s="12" t="s">
        <v>172</v>
      </c>
      <c r="C121" s="15">
        <v>6</v>
      </c>
      <c r="D121" s="27" t="s">
        <v>178</v>
      </c>
      <c r="E121" s="17">
        <v>4</v>
      </c>
      <c r="F121" s="17">
        <v>7</v>
      </c>
      <c r="I121"/>
    </row>
    <row r="122" spans="1:9" s="18" customFormat="1" ht="18.75">
      <c r="A122" s="11"/>
      <c r="B122" s="12" t="s">
        <v>172</v>
      </c>
      <c r="C122" s="15">
        <v>7</v>
      </c>
      <c r="D122" s="27" t="s">
        <v>179</v>
      </c>
      <c r="E122" s="17">
        <v>4</v>
      </c>
      <c r="F122" s="17">
        <v>7</v>
      </c>
      <c r="I122"/>
    </row>
    <row r="123" spans="1:9" s="18" customFormat="1" ht="18.75">
      <c r="A123" s="11"/>
      <c r="B123" s="12" t="s">
        <v>180</v>
      </c>
      <c r="C123" s="15">
        <v>1</v>
      </c>
      <c r="D123" s="16" t="s">
        <v>181</v>
      </c>
      <c r="E123" s="17">
        <v>3</v>
      </c>
      <c r="F123" s="17">
        <v>5</v>
      </c>
      <c r="I123"/>
    </row>
    <row r="124" spans="1:9" s="18" customFormat="1" ht="18.75">
      <c r="A124" s="11"/>
      <c r="B124" s="12" t="s">
        <v>180</v>
      </c>
      <c r="C124" s="15">
        <v>2</v>
      </c>
      <c r="D124" s="16" t="s">
        <v>182</v>
      </c>
      <c r="E124" s="17">
        <v>5</v>
      </c>
      <c r="F124" s="17">
        <v>8</v>
      </c>
      <c r="I124"/>
    </row>
    <row r="125" spans="1:9" s="18" customFormat="1" ht="18.75">
      <c r="A125" s="11"/>
      <c r="B125" s="12" t="s">
        <v>180</v>
      </c>
      <c r="C125" s="15">
        <v>3</v>
      </c>
      <c r="D125" s="16" t="s">
        <v>183</v>
      </c>
      <c r="E125" s="17">
        <v>4</v>
      </c>
      <c r="F125" s="17">
        <v>7</v>
      </c>
      <c r="I125"/>
    </row>
    <row r="126" spans="1:9" s="18" customFormat="1" ht="18.75">
      <c r="A126" s="11"/>
      <c r="B126" s="12" t="s">
        <v>180</v>
      </c>
      <c r="C126" s="15">
        <v>4</v>
      </c>
      <c r="D126" s="16" t="s">
        <v>184</v>
      </c>
      <c r="E126" s="17">
        <v>2</v>
      </c>
      <c r="F126" s="17">
        <v>3</v>
      </c>
      <c r="I126"/>
    </row>
    <row r="127" spans="1:9" s="18" customFormat="1" ht="18.75">
      <c r="A127" s="11"/>
      <c r="B127" s="12" t="s">
        <v>180</v>
      </c>
      <c r="C127" s="15">
        <v>5</v>
      </c>
      <c r="D127" s="16" t="s">
        <v>185</v>
      </c>
      <c r="E127" s="17">
        <v>4</v>
      </c>
      <c r="F127" s="17">
        <v>7</v>
      </c>
      <c r="I127"/>
    </row>
    <row r="128" spans="1:9" s="18" customFormat="1" ht="18.75">
      <c r="A128" s="11"/>
      <c r="B128" s="12" t="s">
        <v>180</v>
      </c>
      <c r="C128" s="15">
        <v>6</v>
      </c>
      <c r="D128" s="16" t="s">
        <v>186</v>
      </c>
      <c r="E128" s="17">
        <v>4</v>
      </c>
      <c r="F128" s="17">
        <v>7</v>
      </c>
      <c r="I128"/>
    </row>
    <row r="129" spans="1:9" s="18" customFormat="1" ht="18.75">
      <c r="A129" s="11"/>
      <c r="B129" s="12" t="s">
        <v>180</v>
      </c>
      <c r="C129" s="15">
        <v>7</v>
      </c>
      <c r="D129" s="16" t="s">
        <v>187</v>
      </c>
      <c r="E129" s="17">
        <v>3</v>
      </c>
      <c r="F129" s="17">
        <v>5</v>
      </c>
      <c r="I129"/>
    </row>
    <row r="130" spans="1:9" s="18" customFormat="1" ht="18.75">
      <c r="A130" s="11"/>
      <c r="B130" s="12" t="s">
        <v>188</v>
      </c>
      <c r="C130" s="15">
        <v>1</v>
      </c>
      <c r="D130" s="16" t="s">
        <v>189</v>
      </c>
      <c r="E130" s="17">
        <v>3</v>
      </c>
      <c r="F130" s="17">
        <v>5</v>
      </c>
      <c r="I130"/>
    </row>
    <row r="131" spans="1:9" s="18" customFormat="1" ht="37.5">
      <c r="A131" s="11"/>
      <c r="B131" s="12" t="s">
        <v>188</v>
      </c>
      <c r="C131" s="12">
        <v>2</v>
      </c>
      <c r="D131" s="20" t="s">
        <v>190</v>
      </c>
      <c r="E131" s="21">
        <v>5</v>
      </c>
      <c r="F131" s="17">
        <v>8</v>
      </c>
      <c r="I131"/>
    </row>
    <row r="132" spans="1:9" s="18" customFormat="1" ht="18.75">
      <c r="A132" s="11"/>
      <c r="B132" s="12" t="s">
        <v>188</v>
      </c>
      <c r="C132" s="15">
        <v>3</v>
      </c>
      <c r="D132" s="16" t="s">
        <v>191</v>
      </c>
      <c r="E132" s="17">
        <v>5</v>
      </c>
      <c r="F132" s="17">
        <v>8</v>
      </c>
      <c r="I132"/>
    </row>
    <row r="133" spans="1:9" s="18" customFormat="1" ht="18.75">
      <c r="A133" s="11"/>
      <c r="B133" s="12" t="s">
        <v>188</v>
      </c>
      <c r="C133" s="15">
        <v>4</v>
      </c>
      <c r="D133" s="16" t="s">
        <v>192</v>
      </c>
      <c r="E133" s="17">
        <v>3</v>
      </c>
      <c r="F133" s="17">
        <v>5</v>
      </c>
      <c r="I133"/>
    </row>
    <row r="134" spans="1:9" s="18" customFormat="1" ht="18.75">
      <c r="A134" s="11"/>
      <c r="B134" s="12" t="s">
        <v>188</v>
      </c>
      <c r="C134" s="15">
        <v>5</v>
      </c>
      <c r="D134" s="16" t="s">
        <v>193</v>
      </c>
      <c r="E134" s="17">
        <v>3</v>
      </c>
      <c r="F134" s="17">
        <v>5</v>
      </c>
      <c r="I134"/>
    </row>
    <row r="135" spans="1:9" s="18" customFormat="1" ht="18.75">
      <c r="A135" s="11"/>
      <c r="B135" s="12" t="s">
        <v>188</v>
      </c>
      <c r="C135" s="15">
        <v>6</v>
      </c>
      <c r="D135" s="16" t="s">
        <v>194</v>
      </c>
      <c r="E135" s="17">
        <v>3</v>
      </c>
      <c r="F135" s="17">
        <v>5</v>
      </c>
      <c r="I135"/>
    </row>
    <row r="136" spans="1:9" s="18" customFormat="1" ht="18.75">
      <c r="A136" s="11"/>
      <c r="B136" s="12" t="s">
        <v>188</v>
      </c>
      <c r="C136" s="15">
        <v>7</v>
      </c>
      <c r="D136" s="16" t="s">
        <v>195</v>
      </c>
      <c r="E136" s="17">
        <v>3</v>
      </c>
      <c r="F136" s="17">
        <v>5</v>
      </c>
      <c r="I136"/>
    </row>
    <row r="137" spans="1:9" s="18" customFormat="1" ht="18.75">
      <c r="A137" s="11"/>
      <c r="B137" s="12" t="s">
        <v>196</v>
      </c>
      <c r="C137" s="15">
        <v>1</v>
      </c>
      <c r="D137" s="16" t="s">
        <v>197</v>
      </c>
      <c r="E137" s="17">
        <v>3</v>
      </c>
      <c r="F137" s="17">
        <v>5</v>
      </c>
      <c r="I137"/>
    </row>
    <row r="138" spans="1:9" s="18" customFormat="1" ht="18.75">
      <c r="A138" s="11"/>
      <c r="B138" s="12" t="s">
        <v>196</v>
      </c>
      <c r="C138" s="15">
        <v>2</v>
      </c>
      <c r="D138" s="16" t="s">
        <v>198</v>
      </c>
      <c r="E138" s="17">
        <v>3</v>
      </c>
      <c r="F138" s="17">
        <v>5</v>
      </c>
      <c r="I138"/>
    </row>
    <row r="139" spans="1:9" s="18" customFormat="1" ht="18.75">
      <c r="A139" s="11"/>
      <c r="B139" s="12" t="s">
        <v>196</v>
      </c>
      <c r="C139" s="15">
        <v>3</v>
      </c>
      <c r="D139" s="16" t="s">
        <v>199</v>
      </c>
      <c r="E139" s="17">
        <v>3</v>
      </c>
      <c r="F139" s="17">
        <v>5</v>
      </c>
      <c r="I139"/>
    </row>
    <row r="140" spans="1:9" s="18" customFormat="1" ht="18.75">
      <c r="A140" s="11"/>
      <c r="B140" s="12" t="s">
        <v>196</v>
      </c>
      <c r="C140" s="15">
        <v>4</v>
      </c>
      <c r="D140" s="16" t="s">
        <v>200</v>
      </c>
      <c r="E140" s="17">
        <v>3</v>
      </c>
      <c r="F140" s="17">
        <v>5</v>
      </c>
      <c r="I140"/>
    </row>
    <row r="141" spans="1:9" s="18" customFormat="1" ht="18.75">
      <c r="A141" s="11"/>
      <c r="B141" s="12" t="s">
        <v>196</v>
      </c>
      <c r="C141" s="15">
        <v>5</v>
      </c>
      <c r="D141" s="16" t="s">
        <v>201</v>
      </c>
      <c r="E141" s="17">
        <v>3</v>
      </c>
      <c r="F141" s="17">
        <v>5</v>
      </c>
      <c r="I141"/>
    </row>
    <row r="142" spans="1:9" s="18" customFormat="1" ht="18.75">
      <c r="A142" s="11"/>
      <c r="B142" s="12" t="s">
        <v>196</v>
      </c>
      <c r="C142" s="15">
        <v>6</v>
      </c>
      <c r="D142" s="16" t="s">
        <v>202</v>
      </c>
      <c r="E142" s="17">
        <v>3</v>
      </c>
      <c r="F142" s="17">
        <v>5</v>
      </c>
      <c r="I142"/>
    </row>
    <row r="143" spans="1:9" s="18" customFormat="1" ht="18.75">
      <c r="A143" s="11"/>
      <c r="B143" s="12" t="s">
        <v>196</v>
      </c>
      <c r="C143" s="15">
        <v>7</v>
      </c>
      <c r="D143" s="16" t="s">
        <v>203</v>
      </c>
      <c r="E143" s="17">
        <v>2</v>
      </c>
      <c r="F143" s="17">
        <v>3</v>
      </c>
      <c r="I143"/>
    </row>
    <row r="144" spans="1:9" s="18" customFormat="1" ht="18.75">
      <c r="A144" s="11"/>
      <c r="B144" s="12" t="s">
        <v>204</v>
      </c>
      <c r="C144" s="15">
        <v>1</v>
      </c>
      <c r="D144" s="16" t="s">
        <v>205</v>
      </c>
      <c r="E144" s="17">
        <v>4</v>
      </c>
      <c r="F144" s="17">
        <v>7</v>
      </c>
      <c r="I144"/>
    </row>
    <row r="145" spans="1:9" s="18" customFormat="1" ht="18.75">
      <c r="A145" s="11"/>
      <c r="B145" s="12" t="s">
        <v>204</v>
      </c>
      <c r="C145" s="15">
        <v>2</v>
      </c>
      <c r="D145" s="16" t="s">
        <v>206</v>
      </c>
      <c r="E145" s="17">
        <v>4</v>
      </c>
      <c r="F145" s="17">
        <v>7</v>
      </c>
      <c r="I145"/>
    </row>
    <row r="146" spans="1:9" s="18" customFormat="1" ht="18.75">
      <c r="A146" s="11"/>
      <c r="B146" s="12" t="s">
        <v>204</v>
      </c>
      <c r="C146" s="15">
        <v>3</v>
      </c>
      <c r="D146" s="16" t="s">
        <v>207</v>
      </c>
      <c r="E146" s="17">
        <v>4</v>
      </c>
      <c r="F146" s="17">
        <v>7</v>
      </c>
      <c r="I146"/>
    </row>
    <row r="147" spans="1:9" s="18" customFormat="1" ht="18.75">
      <c r="A147" s="11"/>
      <c r="B147" s="12" t="s">
        <v>204</v>
      </c>
      <c r="C147" s="15">
        <v>4</v>
      </c>
      <c r="D147" s="16" t="s">
        <v>208</v>
      </c>
      <c r="E147" s="17">
        <v>4</v>
      </c>
      <c r="F147" s="17">
        <v>7</v>
      </c>
      <c r="I147"/>
    </row>
    <row r="148" spans="1:9" s="18" customFormat="1" ht="18.75">
      <c r="A148" s="11"/>
      <c r="B148" s="12" t="s">
        <v>204</v>
      </c>
      <c r="C148" s="15">
        <v>5</v>
      </c>
      <c r="D148" s="27" t="s">
        <v>209</v>
      </c>
      <c r="E148" s="17">
        <v>3</v>
      </c>
      <c r="F148" s="17">
        <v>5</v>
      </c>
      <c r="I148"/>
    </row>
    <row r="149" spans="1:9" s="18" customFormat="1" ht="18.75">
      <c r="A149" s="11"/>
      <c r="B149" s="12" t="s">
        <v>204</v>
      </c>
      <c r="C149" s="15">
        <v>6</v>
      </c>
      <c r="D149" s="16" t="s">
        <v>210</v>
      </c>
      <c r="E149" s="17">
        <v>3</v>
      </c>
      <c r="F149" s="17">
        <v>5</v>
      </c>
      <c r="I149"/>
    </row>
    <row r="150" spans="1:9" s="18" customFormat="1" ht="18.75">
      <c r="A150" s="11"/>
      <c r="B150" s="12" t="s">
        <v>204</v>
      </c>
      <c r="C150" s="15">
        <v>7</v>
      </c>
      <c r="D150" s="16" t="s">
        <v>211</v>
      </c>
      <c r="E150" s="17">
        <v>3</v>
      </c>
      <c r="F150" s="17">
        <v>5</v>
      </c>
      <c r="I150"/>
    </row>
    <row r="151" spans="1:9" s="18" customFormat="1" ht="18.75">
      <c r="A151" s="11"/>
      <c r="B151" s="12" t="s">
        <v>212</v>
      </c>
      <c r="C151" s="15">
        <v>1</v>
      </c>
      <c r="D151" s="16" t="s">
        <v>213</v>
      </c>
      <c r="E151" s="17">
        <v>5</v>
      </c>
      <c r="F151" s="17">
        <v>8</v>
      </c>
      <c r="I151"/>
    </row>
    <row r="152" spans="1:9" s="18" customFormat="1" ht="18.75">
      <c r="A152" s="11"/>
      <c r="B152" s="12" t="s">
        <v>212</v>
      </c>
      <c r="C152" s="15">
        <v>2</v>
      </c>
      <c r="D152" s="16" t="s">
        <v>214</v>
      </c>
      <c r="E152" s="17">
        <v>5</v>
      </c>
      <c r="F152" s="17">
        <v>8</v>
      </c>
      <c r="I152"/>
    </row>
    <row r="153" spans="1:9" s="18" customFormat="1" ht="18.75">
      <c r="A153" s="11"/>
      <c r="B153" s="12" t="s">
        <v>212</v>
      </c>
      <c r="C153" s="15">
        <v>3</v>
      </c>
      <c r="D153" s="16" t="s">
        <v>88</v>
      </c>
      <c r="E153" s="17">
        <v>3</v>
      </c>
      <c r="F153" s="17">
        <v>5</v>
      </c>
      <c r="I153"/>
    </row>
    <row r="154" spans="1:9" s="18" customFormat="1" ht="18.75">
      <c r="A154" s="11"/>
      <c r="B154" s="12" t="s">
        <v>212</v>
      </c>
      <c r="C154" s="15">
        <v>4</v>
      </c>
      <c r="D154" s="16" t="s">
        <v>215</v>
      </c>
      <c r="E154" s="17">
        <v>3</v>
      </c>
      <c r="F154" s="17">
        <v>5</v>
      </c>
      <c r="I154"/>
    </row>
    <row r="155" spans="1:9" s="18" customFormat="1" ht="18.75">
      <c r="A155" s="11"/>
      <c r="B155" s="12" t="s">
        <v>212</v>
      </c>
      <c r="C155" s="15">
        <v>5</v>
      </c>
      <c r="D155" s="16" t="s">
        <v>89</v>
      </c>
      <c r="E155" s="17">
        <v>3</v>
      </c>
      <c r="F155" s="17">
        <v>5</v>
      </c>
      <c r="I155"/>
    </row>
    <row r="156" spans="1:9" s="18" customFormat="1" ht="18.75">
      <c r="A156" s="11"/>
      <c r="B156" s="12" t="s">
        <v>212</v>
      </c>
      <c r="C156" s="15">
        <v>6</v>
      </c>
      <c r="D156" s="16" t="s">
        <v>216</v>
      </c>
      <c r="E156" s="17">
        <v>3</v>
      </c>
      <c r="F156" s="17">
        <v>5</v>
      </c>
      <c r="I156"/>
    </row>
    <row r="157" spans="1:9" s="18" customFormat="1" ht="18.75">
      <c r="A157" s="11"/>
      <c r="B157" s="12" t="s">
        <v>212</v>
      </c>
      <c r="C157" s="15">
        <v>7</v>
      </c>
      <c r="D157" s="16" t="s">
        <v>217</v>
      </c>
      <c r="E157" s="17">
        <v>3</v>
      </c>
      <c r="F157" s="17">
        <v>5</v>
      </c>
      <c r="I157"/>
    </row>
    <row r="158" spans="1:6" s="18" customFormat="1" ht="18.75">
      <c r="A158" s="28"/>
      <c r="B158" s="28"/>
      <c r="C158" s="29" t="s">
        <v>218</v>
      </c>
      <c r="D158" s="30" t="s">
        <v>219</v>
      </c>
      <c r="E158" s="31">
        <v>554</v>
      </c>
      <c r="F158" s="31"/>
    </row>
    <row r="159" spans="1:5" s="18" customFormat="1" ht="18.75">
      <c r="A159" s="32"/>
      <c r="B159" s="32"/>
      <c r="C159" s="365" t="s">
        <v>220</v>
      </c>
      <c r="D159" s="365"/>
      <c r="E159" s="365"/>
    </row>
    <row r="160" spans="3:6" s="18" customFormat="1" ht="15.75">
      <c r="C160" s="33"/>
      <c r="D160" s="34"/>
      <c r="E160" s="35"/>
      <c r="F160" s="35"/>
    </row>
    <row r="161" spans="3:6" s="18" customFormat="1" ht="15.75">
      <c r="C161" s="33"/>
      <c r="D161" s="34"/>
      <c r="E161" s="35"/>
      <c r="F161" s="35"/>
    </row>
    <row r="162" spans="3:6" s="18" customFormat="1" ht="15.75">
      <c r="C162" s="33"/>
      <c r="D162" s="34"/>
      <c r="E162" s="35"/>
      <c r="F162" s="35"/>
    </row>
    <row r="163" spans="3:6" s="18" customFormat="1" ht="15.75">
      <c r="C163" s="33"/>
      <c r="D163" s="34"/>
      <c r="E163" s="35"/>
      <c r="F163" s="35"/>
    </row>
    <row r="164" spans="3:6" s="18" customFormat="1" ht="15.75">
      <c r="C164" s="33"/>
      <c r="D164" s="34"/>
      <c r="E164" s="35"/>
      <c r="F164" s="35"/>
    </row>
    <row r="165" spans="3:6" s="18" customFormat="1" ht="15.75">
      <c r="C165" s="33"/>
      <c r="D165" s="34"/>
      <c r="E165" s="35"/>
      <c r="F165" s="35"/>
    </row>
    <row r="166" spans="3:6" s="18" customFormat="1" ht="15.75">
      <c r="C166" s="33"/>
      <c r="D166" s="34"/>
      <c r="E166" s="35"/>
      <c r="F166" s="35"/>
    </row>
    <row r="167" spans="3:6" s="18" customFormat="1" ht="15.75">
      <c r="C167" s="33"/>
      <c r="D167" s="34"/>
      <c r="E167" s="35"/>
      <c r="F167" s="35"/>
    </row>
    <row r="168" spans="3:6" s="18" customFormat="1" ht="15.75">
      <c r="C168" s="33"/>
      <c r="D168" s="34"/>
      <c r="E168" s="35"/>
      <c r="F168" s="35"/>
    </row>
    <row r="169" spans="3:6" s="18" customFormat="1" ht="15.75">
      <c r="C169" s="33"/>
      <c r="D169" s="34"/>
      <c r="E169" s="35"/>
      <c r="F169" s="35"/>
    </row>
    <row r="170" spans="3:6" s="18" customFormat="1" ht="15.75">
      <c r="C170" s="33"/>
      <c r="D170" s="34"/>
      <c r="E170" s="35"/>
      <c r="F170" s="35"/>
    </row>
    <row r="171" spans="3:6" s="18" customFormat="1" ht="15.75">
      <c r="C171" s="33"/>
      <c r="D171" s="34"/>
      <c r="E171" s="35"/>
      <c r="F171" s="35"/>
    </row>
    <row r="172" spans="3:6" s="18" customFormat="1" ht="15.75">
      <c r="C172" s="33"/>
      <c r="D172" s="34"/>
      <c r="E172" s="35"/>
      <c r="F172" s="35"/>
    </row>
    <row r="173" spans="3:6" s="18" customFormat="1" ht="15.75">
      <c r="C173" s="33"/>
      <c r="D173" s="34"/>
      <c r="E173" s="35"/>
      <c r="F173" s="35"/>
    </row>
    <row r="174" spans="3:6" s="18" customFormat="1" ht="15.75">
      <c r="C174" s="33"/>
      <c r="D174" s="34"/>
      <c r="E174" s="35"/>
      <c r="F174" s="35"/>
    </row>
    <row r="175" spans="3:6" s="18" customFormat="1" ht="15.75">
      <c r="C175" s="33"/>
      <c r="D175" s="34"/>
      <c r="E175" s="35"/>
      <c r="F175" s="35"/>
    </row>
    <row r="176" spans="3:6" s="18" customFormat="1" ht="15.75">
      <c r="C176" s="33"/>
      <c r="D176" s="34"/>
      <c r="E176" s="35"/>
      <c r="F176" s="35"/>
    </row>
    <row r="177" spans="3:6" s="18" customFormat="1" ht="15.75">
      <c r="C177" s="33"/>
      <c r="D177" s="34"/>
      <c r="E177" s="35"/>
      <c r="F177" s="35"/>
    </row>
    <row r="178" spans="3:6" s="18" customFormat="1" ht="15.75">
      <c r="C178" s="33"/>
      <c r="D178" s="34"/>
      <c r="E178" s="35"/>
      <c r="F178" s="35"/>
    </row>
    <row r="179" spans="3:6" s="18" customFormat="1" ht="15.75">
      <c r="C179" s="33"/>
      <c r="D179" s="34"/>
      <c r="E179" s="35"/>
      <c r="F179" s="35"/>
    </row>
    <row r="180" spans="3:6" s="18" customFormat="1" ht="15.75">
      <c r="C180" s="33"/>
      <c r="D180" s="34"/>
      <c r="E180" s="35"/>
      <c r="F180" s="35"/>
    </row>
    <row r="181" spans="3:6" s="18" customFormat="1" ht="15.75">
      <c r="C181" s="33"/>
      <c r="D181" s="34"/>
      <c r="E181" s="35"/>
      <c r="F181" s="35"/>
    </row>
    <row r="182" spans="3:6" s="18" customFormat="1" ht="15.75">
      <c r="C182" s="33"/>
      <c r="D182" s="34"/>
      <c r="E182" s="35"/>
      <c r="F182" s="35"/>
    </row>
    <row r="183" spans="3:6" s="18" customFormat="1" ht="15.75">
      <c r="C183" s="33"/>
      <c r="D183" s="34"/>
      <c r="E183" s="35"/>
      <c r="F183" s="35"/>
    </row>
    <row r="184" spans="3:6" s="18" customFormat="1" ht="15.75">
      <c r="C184" s="33"/>
      <c r="D184" s="34"/>
      <c r="E184" s="35"/>
      <c r="F184" s="35"/>
    </row>
    <row r="185" spans="3:6" s="18" customFormat="1" ht="15.75">
      <c r="C185" s="33"/>
      <c r="D185" s="34"/>
      <c r="E185" s="35"/>
      <c r="F185" s="35"/>
    </row>
    <row r="186" spans="3:6" s="18" customFormat="1" ht="15.75">
      <c r="C186" s="33"/>
      <c r="D186" s="34"/>
      <c r="E186" s="35"/>
      <c r="F186" s="35"/>
    </row>
    <row r="187" spans="3:6" s="18" customFormat="1" ht="15.75">
      <c r="C187" s="33"/>
      <c r="D187" s="34"/>
      <c r="E187" s="35"/>
      <c r="F187" s="35"/>
    </row>
    <row r="188" spans="3:6" s="18" customFormat="1" ht="15.75">
      <c r="C188" s="33"/>
      <c r="D188" s="34"/>
      <c r="E188" s="35"/>
      <c r="F188" s="35"/>
    </row>
    <row r="189" spans="3:6" s="18" customFormat="1" ht="15.75">
      <c r="C189" s="33"/>
      <c r="D189" s="34"/>
      <c r="E189" s="35"/>
      <c r="F189" s="35"/>
    </row>
    <row r="190" spans="3:6" s="18" customFormat="1" ht="15.75">
      <c r="C190" s="33"/>
      <c r="D190" s="34"/>
      <c r="E190" s="35"/>
      <c r="F190" s="35"/>
    </row>
    <row r="191" spans="3:6" s="18" customFormat="1" ht="15.75">
      <c r="C191" s="33"/>
      <c r="D191" s="34"/>
      <c r="E191" s="35"/>
      <c r="F191" s="35"/>
    </row>
    <row r="192" spans="3:6" s="18" customFormat="1" ht="15.75">
      <c r="C192" s="33"/>
      <c r="D192" s="34"/>
      <c r="E192" s="35"/>
      <c r="F192" s="35"/>
    </row>
    <row r="193" spans="3:6" s="18" customFormat="1" ht="15.75">
      <c r="C193" s="33"/>
      <c r="D193" s="34"/>
      <c r="E193" s="35"/>
      <c r="F193" s="35"/>
    </row>
    <row r="194" spans="3:6" s="18" customFormat="1" ht="15.75">
      <c r="C194" s="33"/>
      <c r="D194" s="34"/>
      <c r="E194" s="35"/>
      <c r="F194" s="35"/>
    </row>
    <row r="195" spans="3:6" s="18" customFormat="1" ht="15.75">
      <c r="C195" s="33"/>
      <c r="D195" s="34"/>
      <c r="E195" s="35"/>
      <c r="F195" s="35"/>
    </row>
    <row r="196" spans="3:6" s="18" customFormat="1" ht="15.75">
      <c r="C196" s="33"/>
      <c r="D196" s="34"/>
      <c r="E196" s="35"/>
      <c r="F196" s="35"/>
    </row>
    <row r="197" spans="3:6" s="18" customFormat="1" ht="15.75">
      <c r="C197" s="33"/>
      <c r="D197" s="34"/>
      <c r="E197" s="35"/>
      <c r="F197" s="35"/>
    </row>
    <row r="198" spans="3:6" s="18" customFormat="1" ht="15.75">
      <c r="C198" s="33"/>
      <c r="D198" s="34"/>
      <c r="E198" s="35"/>
      <c r="F198" s="35"/>
    </row>
    <row r="199" spans="3:6" s="18" customFormat="1" ht="15.75">
      <c r="C199" s="33"/>
      <c r="D199" s="34"/>
      <c r="E199" s="35"/>
      <c r="F199" s="35"/>
    </row>
    <row r="200" spans="3:6" s="18" customFormat="1" ht="15.75">
      <c r="C200" s="33"/>
      <c r="D200" s="34"/>
      <c r="E200" s="35"/>
      <c r="F200" s="35"/>
    </row>
    <row r="201" spans="3:6" s="18" customFormat="1" ht="15.75">
      <c r="C201" s="33"/>
      <c r="D201" s="34"/>
      <c r="E201" s="35"/>
      <c r="F201" s="35"/>
    </row>
    <row r="202" spans="3:6" s="18" customFormat="1" ht="15.75">
      <c r="C202" s="33"/>
      <c r="D202" s="34"/>
      <c r="E202" s="35"/>
      <c r="F202" s="35"/>
    </row>
    <row r="203" spans="3:6" s="18" customFormat="1" ht="15.75">
      <c r="C203" s="33"/>
      <c r="D203" s="34"/>
      <c r="E203" s="35"/>
      <c r="F203" s="35"/>
    </row>
    <row r="204" spans="3:6" s="18" customFormat="1" ht="15.75">
      <c r="C204" s="33"/>
      <c r="D204" s="34"/>
      <c r="E204" s="35"/>
      <c r="F204" s="35"/>
    </row>
    <row r="205" spans="3:6" s="18" customFormat="1" ht="15.75">
      <c r="C205" s="33"/>
      <c r="D205" s="34"/>
      <c r="E205" s="35"/>
      <c r="F205" s="35"/>
    </row>
    <row r="206" spans="3:6" s="18" customFormat="1" ht="15.75">
      <c r="C206" s="33"/>
      <c r="D206" s="34"/>
      <c r="E206" s="35"/>
      <c r="F206" s="35"/>
    </row>
    <row r="207" spans="3:6" s="18" customFormat="1" ht="15.75">
      <c r="C207" s="33"/>
      <c r="D207" s="34"/>
      <c r="E207" s="35"/>
      <c r="F207" s="35"/>
    </row>
    <row r="208" spans="3:6" s="18" customFormat="1" ht="15.75">
      <c r="C208" s="33"/>
      <c r="D208" s="34"/>
      <c r="E208" s="35"/>
      <c r="F208" s="35"/>
    </row>
    <row r="209" spans="3:6" s="18" customFormat="1" ht="15.75">
      <c r="C209" s="33"/>
      <c r="D209" s="34"/>
      <c r="E209" s="35"/>
      <c r="F209" s="35"/>
    </row>
    <row r="210" spans="3:6" s="18" customFormat="1" ht="15.75">
      <c r="C210" s="33"/>
      <c r="D210" s="34"/>
      <c r="E210" s="35"/>
      <c r="F210" s="35"/>
    </row>
    <row r="211" spans="3:6" s="18" customFormat="1" ht="15.75">
      <c r="C211" s="33"/>
      <c r="D211" s="34"/>
      <c r="E211" s="35"/>
      <c r="F211" s="35"/>
    </row>
    <row r="212" spans="3:6" s="18" customFormat="1" ht="15.75">
      <c r="C212" s="33"/>
      <c r="D212" s="34"/>
      <c r="E212" s="35"/>
      <c r="F212" s="35"/>
    </row>
    <row r="213" spans="3:6" s="18" customFormat="1" ht="15.75">
      <c r="C213" s="33"/>
      <c r="D213" s="34"/>
      <c r="E213" s="35"/>
      <c r="F213" s="35"/>
    </row>
    <row r="214" spans="3:6" s="18" customFormat="1" ht="15.75">
      <c r="C214" s="33"/>
      <c r="D214" s="34"/>
      <c r="E214" s="35"/>
      <c r="F214" s="35"/>
    </row>
    <row r="215" spans="3:6" s="18" customFormat="1" ht="15.75">
      <c r="C215" s="33"/>
      <c r="D215" s="34"/>
      <c r="E215" s="35"/>
      <c r="F215" s="35"/>
    </row>
    <row r="216" spans="3:6" s="18" customFormat="1" ht="15.75">
      <c r="C216" s="33"/>
      <c r="D216" s="34"/>
      <c r="E216" s="35"/>
      <c r="F216" s="35"/>
    </row>
    <row r="217" spans="3:6" s="18" customFormat="1" ht="15.75">
      <c r="C217" s="33"/>
      <c r="D217" s="34"/>
      <c r="E217" s="35"/>
      <c r="F217" s="35"/>
    </row>
    <row r="218" spans="3:6" s="18" customFormat="1" ht="15.75">
      <c r="C218" s="33"/>
      <c r="D218" s="34"/>
      <c r="E218" s="35"/>
      <c r="F218" s="35"/>
    </row>
    <row r="219" spans="3:6" s="18" customFormat="1" ht="15.75">
      <c r="C219" s="33"/>
      <c r="D219" s="34"/>
      <c r="E219" s="35"/>
      <c r="F219" s="35"/>
    </row>
    <row r="220" spans="3:6" s="18" customFormat="1" ht="15.75">
      <c r="C220" s="33"/>
      <c r="D220" s="34"/>
      <c r="E220" s="35"/>
      <c r="F220" s="35"/>
    </row>
    <row r="221" spans="3:6" s="18" customFormat="1" ht="15.75">
      <c r="C221" s="33"/>
      <c r="D221" s="34"/>
      <c r="E221" s="35"/>
      <c r="F221" s="35"/>
    </row>
    <row r="222" spans="3:6" s="18" customFormat="1" ht="15.75">
      <c r="C222" s="33"/>
      <c r="D222" s="34"/>
      <c r="E222" s="35"/>
      <c r="F222" s="35"/>
    </row>
    <row r="223" spans="3:6" s="18" customFormat="1" ht="15.75">
      <c r="C223" s="33"/>
      <c r="D223" s="34"/>
      <c r="E223" s="35"/>
      <c r="F223" s="35"/>
    </row>
    <row r="224" spans="3:6" s="18" customFormat="1" ht="15.75">
      <c r="C224" s="33"/>
      <c r="D224" s="34"/>
      <c r="E224" s="35"/>
      <c r="F224" s="35"/>
    </row>
    <row r="225" spans="3:6" s="18" customFormat="1" ht="15.75">
      <c r="C225" s="33"/>
      <c r="D225" s="34"/>
      <c r="E225" s="35"/>
      <c r="F225" s="35"/>
    </row>
    <row r="226" spans="3:6" s="18" customFormat="1" ht="15.75">
      <c r="C226" s="33"/>
      <c r="D226" s="34"/>
      <c r="E226" s="35"/>
      <c r="F226" s="35"/>
    </row>
    <row r="227" spans="3:6" s="18" customFormat="1" ht="15.75">
      <c r="C227" s="33"/>
      <c r="D227" s="34"/>
      <c r="E227" s="35"/>
      <c r="F227" s="35"/>
    </row>
    <row r="228" spans="3:6" s="18" customFormat="1" ht="15.75">
      <c r="C228" s="33"/>
      <c r="D228" s="34"/>
      <c r="E228" s="35"/>
      <c r="F228" s="35"/>
    </row>
    <row r="229" spans="3:6" s="18" customFormat="1" ht="15.75">
      <c r="C229" s="33"/>
      <c r="D229" s="34"/>
      <c r="E229" s="35"/>
      <c r="F229" s="35"/>
    </row>
    <row r="230" spans="3:6" s="18" customFormat="1" ht="15.75">
      <c r="C230" s="33"/>
      <c r="D230" s="34"/>
      <c r="E230" s="35"/>
      <c r="F230" s="35"/>
    </row>
    <row r="231" spans="3:6" s="18" customFormat="1" ht="15.75">
      <c r="C231" s="33"/>
      <c r="D231" s="34"/>
      <c r="E231" s="35"/>
      <c r="F231" s="35"/>
    </row>
    <row r="232" spans="3:6" s="18" customFormat="1" ht="15.75">
      <c r="C232" s="33"/>
      <c r="D232" s="34"/>
      <c r="E232" s="35"/>
      <c r="F232" s="35"/>
    </row>
    <row r="233" spans="3:6" s="18" customFormat="1" ht="15.75">
      <c r="C233" s="33"/>
      <c r="D233" s="34"/>
      <c r="E233" s="35"/>
      <c r="F233" s="35"/>
    </row>
    <row r="234" spans="3:6" s="18" customFormat="1" ht="15.75">
      <c r="C234" s="33"/>
      <c r="D234" s="34"/>
      <c r="E234" s="35"/>
      <c r="F234" s="35"/>
    </row>
    <row r="235" spans="3:6" s="18" customFormat="1" ht="15.75">
      <c r="C235" s="33"/>
      <c r="D235" s="34"/>
      <c r="E235" s="35"/>
      <c r="F235" s="35"/>
    </row>
    <row r="236" spans="3:6" s="18" customFormat="1" ht="15.75">
      <c r="C236" s="33"/>
      <c r="D236" s="34"/>
      <c r="E236" s="35"/>
      <c r="F236" s="35"/>
    </row>
    <row r="237" spans="3:6" s="18" customFormat="1" ht="15.75">
      <c r="C237" s="33"/>
      <c r="D237" s="34"/>
      <c r="E237" s="35"/>
      <c r="F237" s="35"/>
    </row>
    <row r="238" spans="3:6" s="18" customFormat="1" ht="15.75">
      <c r="C238" s="33"/>
      <c r="D238" s="34"/>
      <c r="E238" s="35"/>
      <c r="F238" s="35"/>
    </row>
    <row r="239" spans="3:6" s="18" customFormat="1" ht="15.75">
      <c r="C239" s="33"/>
      <c r="D239" s="34"/>
      <c r="E239" s="35"/>
      <c r="F239" s="35"/>
    </row>
    <row r="240" spans="3:6" s="18" customFormat="1" ht="15.75">
      <c r="C240" s="33"/>
      <c r="D240" s="34"/>
      <c r="E240" s="35"/>
      <c r="F240" s="35"/>
    </row>
    <row r="241" spans="3:6" s="18" customFormat="1" ht="15.75">
      <c r="C241" s="33"/>
      <c r="D241" s="34"/>
      <c r="E241" s="35"/>
      <c r="F241" s="35"/>
    </row>
    <row r="242" spans="3:6" s="18" customFormat="1" ht="15.75">
      <c r="C242" s="33"/>
      <c r="D242" s="34"/>
      <c r="E242" s="35"/>
      <c r="F242" s="35"/>
    </row>
    <row r="243" spans="3:6" s="18" customFormat="1" ht="15.75">
      <c r="C243" s="33"/>
      <c r="D243" s="34"/>
      <c r="E243" s="35"/>
      <c r="F243" s="35"/>
    </row>
    <row r="244" spans="3:6" s="18" customFormat="1" ht="15.75">
      <c r="C244" s="33"/>
      <c r="D244" s="34"/>
      <c r="E244" s="35"/>
      <c r="F244" s="35"/>
    </row>
    <row r="245" spans="3:6" s="18" customFormat="1" ht="15.75">
      <c r="C245" s="33"/>
      <c r="D245" s="34"/>
      <c r="E245" s="35"/>
      <c r="F245" s="35"/>
    </row>
    <row r="246" spans="3:6" s="18" customFormat="1" ht="15.75">
      <c r="C246" s="33"/>
      <c r="D246" s="34"/>
      <c r="E246" s="35"/>
      <c r="F246" s="35"/>
    </row>
    <row r="247" spans="3:6" s="18" customFormat="1" ht="15.75">
      <c r="C247" s="33"/>
      <c r="D247" s="34"/>
      <c r="E247" s="35"/>
      <c r="F247" s="35"/>
    </row>
    <row r="248" spans="3:6" s="18" customFormat="1" ht="15.75">
      <c r="C248" s="33"/>
      <c r="D248" s="34"/>
      <c r="E248" s="35"/>
      <c r="F248" s="35"/>
    </row>
    <row r="249" spans="3:6" s="18" customFormat="1" ht="15.75">
      <c r="C249" s="33"/>
      <c r="D249" s="34"/>
      <c r="E249" s="35"/>
      <c r="F249" s="35"/>
    </row>
    <row r="250" spans="3:6" s="18" customFormat="1" ht="15.75">
      <c r="C250" s="33"/>
      <c r="D250" s="34"/>
      <c r="E250" s="35"/>
      <c r="F250" s="35"/>
    </row>
    <row r="251" spans="3:6" s="18" customFormat="1" ht="15.75">
      <c r="C251" s="33"/>
      <c r="D251" s="34"/>
      <c r="E251" s="35"/>
      <c r="F251" s="35"/>
    </row>
    <row r="252" spans="3:6" s="18" customFormat="1" ht="15.75">
      <c r="C252" s="33"/>
      <c r="D252" s="34"/>
      <c r="E252" s="35"/>
      <c r="F252" s="35"/>
    </row>
    <row r="253" spans="3:6" s="18" customFormat="1" ht="15.75">
      <c r="C253" s="33"/>
      <c r="D253" s="34"/>
      <c r="E253" s="35"/>
      <c r="F253" s="35"/>
    </row>
    <row r="254" spans="3:6" s="18" customFormat="1" ht="15.75">
      <c r="C254" s="33"/>
      <c r="D254" s="34"/>
      <c r="E254" s="35"/>
      <c r="F254" s="35"/>
    </row>
    <row r="255" spans="3:6" s="18" customFormat="1" ht="15.75">
      <c r="C255" s="33"/>
      <c r="D255" s="34"/>
      <c r="E255" s="35"/>
      <c r="F255" s="35"/>
    </row>
    <row r="256" spans="3:6" s="18" customFormat="1" ht="15.75">
      <c r="C256" s="33"/>
      <c r="D256" s="34"/>
      <c r="E256" s="35"/>
      <c r="F256" s="35"/>
    </row>
    <row r="257" spans="3:6" s="18" customFormat="1" ht="15.75">
      <c r="C257" s="33"/>
      <c r="D257" s="34"/>
      <c r="E257" s="35"/>
      <c r="F257" s="35"/>
    </row>
    <row r="258" spans="3:6" s="18" customFormat="1" ht="15.75">
      <c r="C258" s="33"/>
      <c r="D258" s="34"/>
      <c r="E258" s="35"/>
      <c r="F258" s="35"/>
    </row>
    <row r="259" spans="3:6" s="18" customFormat="1" ht="15.75">
      <c r="C259" s="33"/>
      <c r="D259" s="34"/>
      <c r="E259" s="35"/>
      <c r="F259" s="35"/>
    </row>
    <row r="260" spans="3:6" s="18" customFormat="1" ht="15.75">
      <c r="C260" s="33"/>
      <c r="D260" s="34"/>
      <c r="E260" s="35"/>
      <c r="F260" s="35"/>
    </row>
    <row r="261" spans="3:6" s="18" customFormat="1" ht="15.75">
      <c r="C261" s="33"/>
      <c r="D261" s="34"/>
      <c r="E261" s="35"/>
      <c r="F261" s="35"/>
    </row>
    <row r="262" spans="3:6" s="18" customFormat="1" ht="15.75">
      <c r="C262" s="33"/>
      <c r="D262" s="34"/>
      <c r="E262" s="35"/>
      <c r="F262" s="35"/>
    </row>
    <row r="263" spans="3:6" s="18" customFormat="1" ht="15.75">
      <c r="C263" s="33"/>
      <c r="D263" s="34"/>
      <c r="E263" s="35"/>
      <c r="F263" s="35"/>
    </row>
    <row r="264" spans="3:6" s="18" customFormat="1" ht="15.75">
      <c r="C264" s="33"/>
      <c r="D264" s="34"/>
      <c r="E264" s="35"/>
      <c r="F264" s="35"/>
    </row>
    <row r="265" spans="3:6" s="18" customFormat="1" ht="15.75">
      <c r="C265" s="33"/>
      <c r="D265" s="34"/>
      <c r="E265" s="35"/>
      <c r="F265" s="35"/>
    </row>
    <row r="266" spans="3:6" s="18" customFormat="1" ht="15.75">
      <c r="C266" s="33"/>
      <c r="D266" s="34"/>
      <c r="E266" s="35"/>
      <c r="F266" s="35"/>
    </row>
    <row r="267" spans="3:6" s="18" customFormat="1" ht="15.75">
      <c r="C267" s="33"/>
      <c r="D267" s="34"/>
      <c r="E267" s="35"/>
      <c r="F267" s="35"/>
    </row>
    <row r="268" spans="3:6" s="18" customFormat="1" ht="15.75">
      <c r="C268" s="33"/>
      <c r="D268" s="34"/>
      <c r="E268" s="35"/>
      <c r="F268" s="35"/>
    </row>
    <row r="269" spans="3:6" s="18" customFormat="1" ht="15.75">
      <c r="C269" s="33"/>
      <c r="D269" s="34"/>
      <c r="E269" s="35"/>
      <c r="F269" s="35"/>
    </row>
    <row r="270" spans="3:6" s="18" customFormat="1" ht="15.75">
      <c r="C270" s="33"/>
      <c r="D270" s="34"/>
      <c r="E270" s="35"/>
      <c r="F270" s="35"/>
    </row>
    <row r="271" spans="3:6" s="18" customFormat="1" ht="15.75">
      <c r="C271" s="33"/>
      <c r="D271" s="34"/>
      <c r="E271" s="35"/>
      <c r="F271" s="35"/>
    </row>
    <row r="272" spans="3:6" s="18" customFormat="1" ht="15.75">
      <c r="C272" s="33"/>
      <c r="D272" s="34"/>
      <c r="E272" s="35"/>
      <c r="F272" s="35"/>
    </row>
    <row r="273" spans="3:6" s="18" customFormat="1" ht="15.75">
      <c r="C273" s="33"/>
      <c r="D273" s="34"/>
      <c r="E273" s="35"/>
      <c r="F273" s="35"/>
    </row>
    <row r="274" spans="3:6" s="18" customFormat="1" ht="15.75">
      <c r="C274" s="33"/>
      <c r="D274" s="34"/>
      <c r="E274" s="35"/>
      <c r="F274" s="35"/>
    </row>
    <row r="275" spans="3:6" s="18" customFormat="1" ht="15.75">
      <c r="C275" s="33"/>
      <c r="D275" s="34"/>
      <c r="E275" s="35"/>
      <c r="F275" s="35"/>
    </row>
    <row r="276" spans="3:6" s="18" customFormat="1" ht="15.75">
      <c r="C276" s="33"/>
      <c r="D276" s="34"/>
      <c r="E276" s="35"/>
      <c r="F276" s="35"/>
    </row>
    <row r="277" spans="3:6" s="18" customFormat="1" ht="15.75">
      <c r="C277" s="33"/>
      <c r="D277" s="34"/>
      <c r="E277" s="35"/>
      <c r="F277" s="35"/>
    </row>
    <row r="278" spans="3:6" s="18" customFormat="1" ht="15.75">
      <c r="C278" s="33"/>
      <c r="D278" s="34"/>
      <c r="E278" s="35"/>
      <c r="F278" s="35"/>
    </row>
    <row r="279" spans="3:6" s="18" customFormat="1" ht="15.75">
      <c r="C279" s="33"/>
      <c r="D279" s="34"/>
      <c r="E279" s="35"/>
      <c r="F279" s="35"/>
    </row>
    <row r="280" spans="3:6" s="18" customFormat="1" ht="15.75">
      <c r="C280" s="33"/>
      <c r="D280" s="34"/>
      <c r="E280" s="35"/>
      <c r="F280" s="35"/>
    </row>
    <row r="281" spans="3:6" s="18" customFormat="1" ht="15.75">
      <c r="C281" s="33"/>
      <c r="D281" s="34"/>
      <c r="E281" s="35"/>
      <c r="F281" s="35"/>
    </row>
    <row r="282" spans="3:6" s="18" customFormat="1" ht="15.75">
      <c r="C282" s="33"/>
      <c r="D282" s="34"/>
      <c r="E282" s="35"/>
      <c r="F282" s="35"/>
    </row>
    <row r="283" spans="3:6" s="18" customFormat="1" ht="15.75">
      <c r="C283" s="33"/>
      <c r="D283" s="34"/>
      <c r="E283" s="35"/>
      <c r="F283" s="35"/>
    </row>
    <row r="284" spans="3:6" s="18" customFormat="1" ht="15.75">
      <c r="C284" s="33"/>
      <c r="D284" s="34"/>
      <c r="E284" s="35"/>
      <c r="F284" s="35"/>
    </row>
    <row r="285" spans="3:6" s="18" customFormat="1" ht="15.75">
      <c r="C285" s="33"/>
      <c r="D285" s="34"/>
      <c r="E285" s="35"/>
      <c r="F285" s="35"/>
    </row>
    <row r="286" spans="3:6" s="18" customFormat="1" ht="15.75">
      <c r="C286" s="33"/>
      <c r="D286" s="34"/>
      <c r="E286" s="35"/>
      <c r="F286" s="35"/>
    </row>
    <row r="287" spans="3:6" s="18" customFormat="1" ht="15.75">
      <c r="C287" s="33"/>
      <c r="D287" s="34"/>
      <c r="E287" s="35"/>
      <c r="F287" s="35"/>
    </row>
    <row r="288" spans="3:6" s="18" customFormat="1" ht="15.75">
      <c r="C288" s="33"/>
      <c r="D288" s="34"/>
      <c r="E288" s="35"/>
      <c r="F288" s="35"/>
    </row>
    <row r="289" spans="3:6" s="18" customFormat="1" ht="15.75">
      <c r="C289" s="33"/>
      <c r="D289" s="34"/>
      <c r="E289" s="35"/>
      <c r="F289" s="35"/>
    </row>
    <row r="290" spans="3:6" s="18" customFormat="1" ht="15.75">
      <c r="C290" s="33"/>
      <c r="D290" s="34"/>
      <c r="E290" s="35"/>
      <c r="F290" s="35"/>
    </row>
    <row r="291" spans="3:6" s="18" customFormat="1" ht="15.75">
      <c r="C291" s="33"/>
      <c r="D291" s="34"/>
      <c r="E291" s="35"/>
      <c r="F291" s="35"/>
    </row>
    <row r="292" spans="3:6" s="18" customFormat="1" ht="15.75">
      <c r="C292" s="33"/>
      <c r="D292" s="34"/>
      <c r="E292" s="35"/>
      <c r="F292" s="35"/>
    </row>
    <row r="293" spans="3:6" s="18" customFormat="1" ht="15.75">
      <c r="C293" s="33"/>
      <c r="D293" s="34"/>
      <c r="E293" s="35"/>
      <c r="F293" s="35"/>
    </row>
    <row r="294" spans="3:6" s="18" customFormat="1" ht="15.75">
      <c r="C294" s="33"/>
      <c r="D294" s="34"/>
      <c r="E294" s="35"/>
      <c r="F294" s="35"/>
    </row>
    <row r="295" spans="3:6" s="18" customFormat="1" ht="15.75">
      <c r="C295" s="33"/>
      <c r="D295" s="34"/>
      <c r="E295" s="35"/>
      <c r="F295" s="35"/>
    </row>
    <row r="296" spans="3:6" s="18" customFormat="1" ht="15.75">
      <c r="C296" s="33"/>
      <c r="D296" s="34"/>
      <c r="E296" s="35"/>
      <c r="F296" s="35"/>
    </row>
    <row r="297" spans="3:6" s="18" customFormat="1" ht="15.75">
      <c r="C297" s="33"/>
      <c r="D297" s="34"/>
      <c r="E297" s="35"/>
      <c r="F297" s="35"/>
    </row>
    <row r="298" spans="3:6" s="18" customFormat="1" ht="15.75">
      <c r="C298" s="33"/>
      <c r="D298" s="34"/>
      <c r="E298" s="35"/>
      <c r="F298" s="35"/>
    </row>
    <row r="299" spans="3:6" s="18" customFormat="1" ht="15.75">
      <c r="C299" s="33"/>
      <c r="D299" s="34"/>
      <c r="E299" s="35"/>
      <c r="F299" s="35"/>
    </row>
    <row r="300" spans="3:6" s="18" customFormat="1" ht="15.75">
      <c r="C300" s="33"/>
      <c r="D300" s="34"/>
      <c r="E300" s="35"/>
      <c r="F300" s="35"/>
    </row>
    <row r="301" spans="3:6" s="18" customFormat="1" ht="15.75">
      <c r="C301" s="33"/>
      <c r="D301" s="34"/>
      <c r="E301" s="35"/>
      <c r="F301" s="35"/>
    </row>
    <row r="302" spans="3:6" s="18" customFormat="1" ht="15.75">
      <c r="C302" s="33"/>
      <c r="D302" s="34"/>
      <c r="E302" s="35"/>
      <c r="F302" s="35"/>
    </row>
    <row r="303" spans="3:6" s="18" customFormat="1" ht="15.75">
      <c r="C303" s="33"/>
      <c r="D303" s="34"/>
      <c r="E303" s="35"/>
      <c r="F303" s="35"/>
    </row>
    <row r="304" spans="3:6" s="18" customFormat="1" ht="15.75">
      <c r="C304" s="33"/>
      <c r="D304" s="34"/>
      <c r="E304" s="35"/>
      <c r="F304" s="35"/>
    </row>
    <row r="305" spans="3:6" s="18" customFormat="1" ht="15.75">
      <c r="C305" s="33"/>
      <c r="D305" s="34"/>
      <c r="E305" s="35"/>
      <c r="F305" s="35"/>
    </row>
    <row r="306" spans="3:6" s="18" customFormat="1" ht="15.75">
      <c r="C306" s="33"/>
      <c r="D306" s="34"/>
      <c r="E306" s="35"/>
      <c r="F306" s="35"/>
    </row>
    <row r="307" spans="3:6" s="18" customFormat="1" ht="15.75">
      <c r="C307" s="33"/>
      <c r="D307" s="34"/>
      <c r="E307" s="35"/>
      <c r="F307" s="35"/>
    </row>
    <row r="308" spans="3:6" s="18" customFormat="1" ht="15.75">
      <c r="C308" s="33"/>
      <c r="D308" s="34"/>
      <c r="E308" s="35"/>
      <c r="F308" s="35"/>
    </row>
    <row r="309" spans="3:6" s="18" customFormat="1" ht="15.75">
      <c r="C309" s="33"/>
      <c r="D309" s="34"/>
      <c r="E309" s="35"/>
      <c r="F309" s="35"/>
    </row>
    <row r="310" spans="3:6" s="18" customFormat="1" ht="15.75">
      <c r="C310" s="33"/>
      <c r="D310" s="34"/>
      <c r="E310" s="35"/>
      <c r="F310" s="35"/>
    </row>
    <row r="311" spans="3:6" s="18" customFormat="1" ht="15.75">
      <c r="C311" s="33"/>
      <c r="D311" s="34"/>
      <c r="E311" s="35"/>
      <c r="F311" s="35"/>
    </row>
    <row r="312" spans="3:6" s="18" customFormat="1" ht="15.75">
      <c r="C312" s="33"/>
      <c r="D312" s="34"/>
      <c r="E312" s="35"/>
      <c r="F312" s="35"/>
    </row>
    <row r="313" spans="3:6" s="18" customFormat="1" ht="15.75">
      <c r="C313" s="33"/>
      <c r="D313" s="34"/>
      <c r="E313" s="35"/>
      <c r="F313" s="35"/>
    </row>
    <row r="314" spans="3:6" s="18" customFormat="1" ht="15.75">
      <c r="C314" s="33"/>
      <c r="D314" s="34"/>
      <c r="E314" s="35"/>
      <c r="F314" s="35"/>
    </row>
    <row r="315" spans="3:6" s="18" customFormat="1" ht="15.75">
      <c r="C315" s="33"/>
      <c r="D315" s="34"/>
      <c r="E315" s="35"/>
      <c r="F315" s="35"/>
    </row>
    <row r="316" spans="3:6" s="18" customFormat="1" ht="15.75">
      <c r="C316" s="33"/>
      <c r="D316" s="34"/>
      <c r="E316" s="35"/>
      <c r="F316" s="35"/>
    </row>
    <row r="317" spans="3:6" s="18" customFormat="1" ht="15.75">
      <c r="C317" s="33"/>
      <c r="D317" s="34"/>
      <c r="E317" s="35"/>
      <c r="F317" s="35"/>
    </row>
    <row r="318" spans="3:6" s="18" customFormat="1" ht="15.75">
      <c r="C318" s="33"/>
      <c r="D318" s="34"/>
      <c r="E318" s="35"/>
      <c r="F318" s="35"/>
    </row>
    <row r="319" spans="3:6" s="18" customFormat="1" ht="15.75">
      <c r="C319" s="33"/>
      <c r="D319" s="34"/>
      <c r="E319" s="35"/>
      <c r="F319" s="35"/>
    </row>
    <row r="320" spans="3:6" s="18" customFormat="1" ht="15.75">
      <c r="C320" s="33"/>
      <c r="D320" s="34"/>
      <c r="E320" s="35"/>
      <c r="F320" s="35"/>
    </row>
    <row r="321" spans="3:6" s="18" customFormat="1" ht="15.75">
      <c r="C321" s="33"/>
      <c r="D321" s="34"/>
      <c r="E321" s="35"/>
      <c r="F321" s="35"/>
    </row>
    <row r="322" spans="3:6" s="18" customFormat="1" ht="15.75">
      <c r="C322" s="33"/>
      <c r="D322" s="34"/>
      <c r="E322" s="35"/>
      <c r="F322" s="35"/>
    </row>
    <row r="323" spans="3:6" s="18" customFormat="1" ht="15.75">
      <c r="C323" s="33"/>
      <c r="D323" s="34"/>
      <c r="E323" s="35"/>
      <c r="F323" s="35"/>
    </row>
    <row r="324" spans="3:6" s="18" customFormat="1" ht="15.75">
      <c r="C324" s="33"/>
      <c r="D324" s="34"/>
      <c r="E324" s="35"/>
      <c r="F324" s="35"/>
    </row>
    <row r="325" spans="3:6" s="18" customFormat="1" ht="15.75">
      <c r="C325" s="33"/>
      <c r="D325" s="34"/>
      <c r="E325" s="35"/>
      <c r="F325" s="35"/>
    </row>
    <row r="326" spans="3:6" s="18" customFormat="1" ht="15.75">
      <c r="C326" s="33"/>
      <c r="D326" s="34"/>
      <c r="E326" s="35"/>
      <c r="F326" s="35"/>
    </row>
    <row r="327" spans="3:6" s="18" customFormat="1" ht="15.75">
      <c r="C327" s="33"/>
      <c r="D327" s="34"/>
      <c r="E327" s="35"/>
      <c r="F327" s="35"/>
    </row>
    <row r="328" spans="3:6" s="18" customFormat="1" ht="15.75">
      <c r="C328" s="33"/>
      <c r="D328" s="34"/>
      <c r="E328" s="35"/>
      <c r="F328" s="35"/>
    </row>
  </sheetData>
  <sheetProtection/>
  <autoFilter ref="A6:E159"/>
  <mergeCells count="5">
    <mergeCell ref="C159:E159"/>
    <mergeCell ref="A1:E1"/>
    <mergeCell ref="A2:E2"/>
    <mergeCell ref="A3:E3"/>
    <mergeCell ref="A4:E4"/>
  </mergeCells>
  <printOptions/>
  <pageMargins left="0.39" right="0.26" top="0.3937007874015748" bottom="0.1968503937007874"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I75"/>
  <sheetViews>
    <sheetView zoomScale="85" zoomScaleNormal="85" zoomScalePageLayoutView="0" workbookViewId="0" topLeftCell="A1">
      <pane ySplit="5" topLeftCell="A6" activePane="bottomLeft" state="frozen"/>
      <selection pane="topLeft" activeCell="A1" sqref="A1"/>
      <selection pane="bottomLeft" activeCell="B10" sqref="B10"/>
    </sheetView>
  </sheetViews>
  <sheetFormatPr defaultColWidth="0.2421875" defaultRowHeight="15.75" customHeight="1" zeroHeight="1"/>
  <cols>
    <col min="1" max="1" width="3.25390625" style="225" customWidth="1"/>
    <col min="2" max="2" width="8.00390625" style="225" customWidth="1"/>
    <col min="3" max="3" width="24.375" style="225" customWidth="1"/>
    <col min="4" max="4" width="6.875" style="225" customWidth="1"/>
    <col min="5" max="5" width="5.625" style="225" customWidth="1"/>
    <col min="6" max="6" width="14.50390625" style="225" customWidth="1"/>
    <col min="7" max="7" width="11.00390625" style="225" customWidth="1"/>
    <col min="8" max="8" width="10.75390625" style="225" customWidth="1"/>
    <col min="9" max="9" width="8.875" style="225" customWidth="1"/>
    <col min="10" max="255" width="0" style="225" hidden="1" customWidth="1"/>
    <col min="256" max="16384" width="0.2421875" style="225" customWidth="1"/>
  </cols>
  <sheetData>
    <row r="1" spans="1:9" ht="16.5">
      <c r="A1" s="222"/>
      <c r="B1" s="222"/>
      <c r="C1" s="223"/>
      <c r="D1" s="223"/>
      <c r="E1" s="222"/>
      <c r="F1" s="222"/>
      <c r="G1" s="222"/>
      <c r="H1" s="224" t="s">
        <v>411</v>
      </c>
      <c r="I1" s="222"/>
    </row>
    <row r="2" spans="1:9" ht="7.5" customHeight="1">
      <c r="A2" s="222"/>
      <c r="B2" s="226"/>
      <c r="C2" s="223"/>
      <c r="D2" s="223"/>
      <c r="E2" s="222"/>
      <c r="F2" s="222"/>
      <c r="G2" s="222"/>
      <c r="H2" s="222"/>
      <c r="I2" s="222"/>
    </row>
    <row r="3" spans="1:9" ht="16.5">
      <c r="A3" s="227" t="s">
        <v>369</v>
      </c>
      <c r="C3" s="222"/>
      <c r="D3" s="572" t="s">
        <v>311</v>
      </c>
      <c r="E3" s="572"/>
      <c r="F3" s="572"/>
      <c r="G3" s="572"/>
      <c r="H3" s="572"/>
      <c r="I3" s="572"/>
    </row>
    <row r="4" spans="1:9" ht="16.5">
      <c r="A4" s="227" t="s">
        <v>412</v>
      </c>
      <c r="C4" s="222"/>
      <c r="D4" s="572" t="s">
        <v>310</v>
      </c>
      <c r="E4" s="572"/>
      <c r="F4" s="572"/>
      <c r="G4" s="572"/>
      <c r="H4" s="572"/>
      <c r="I4" s="572"/>
    </row>
    <row r="5" spans="1:9" ht="16.5">
      <c r="A5" s="227" t="s">
        <v>413</v>
      </c>
      <c r="C5" s="228"/>
      <c r="D5" s="223"/>
      <c r="E5" s="222"/>
      <c r="F5" s="222"/>
      <c r="G5" s="222"/>
      <c r="H5" s="222"/>
      <c r="I5" s="222"/>
    </row>
    <row r="6" spans="1:9" ht="16.5">
      <c r="A6" s="222"/>
      <c r="B6" s="229"/>
      <c r="C6" s="223"/>
      <c r="D6" s="223"/>
      <c r="E6" s="222"/>
      <c r="F6" s="222"/>
      <c r="G6" s="222"/>
      <c r="H6" s="222"/>
      <c r="I6" s="222"/>
    </row>
    <row r="7" spans="1:9" ht="18.75">
      <c r="A7" s="579" t="s">
        <v>414</v>
      </c>
      <c r="B7" s="579"/>
      <c r="C7" s="579"/>
      <c r="D7" s="579"/>
      <c r="E7" s="579"/>
      <c r="F7" s="579"/>
      <c r="G7" s="579"/>
      <c r="H7" s="579"/>
      <c r="I7" s="579"/>
    </row>
    <row r="8" spans="1:9" ht="18.75">
      <c r="A8" s="579" t="s">
        <v>373</v>
      </c>
      <c r="B8" s="579"/>
      <c r="C8" s="579"/>
      <c r="D8" s="579"/>
      <c r="E8" s="579"/>
      <c r="F8" s="579"/>
      <c r="G8" s="579"/>
      <c r="H8" s="579"/>
      <c r="I8" s="579"/>
    </row>
    <row r="9" spans="1:9" ht="10.5" customHeight="1">
      <c r="A9" s="222"/>
      <c r="B9" s="227"/>
      <c r="C9" s="223"/>
      <c r="D9" s="223"/>
      <c r="E9" s="222"/>
      <c r="F9" s="222"/>
      <c r="G9" s="222"/>
      <c r="H9" s="222"/>
      <c r="I9" s="222"/>
    </row>
    <row r="10" spans="1:9" ht="18.75" customHeight="1">
      <c r="A10" s="230"/>
      <c r="B10" s="223" t="s">
        <v>374</v>
      </c>
      <c r="C10" s="223"/>
      <c r="D10" s="223"/>
      <c r="E10" s="230"/>
      <c r="F10" s="230"/>
      <c r="G10" s="230"/>
      <c r="H10" s="230"/>
      <c r="I10" s="230"/>
    </row>
    <row r="11" spans="1:9" ht="18.75" customHeight="1">
      <c r="A11" s="230"/>
      <c r="B11" s="223" t="s">
        <v>415</v>
      </c>
      <c r="C11" s="223"/>
      <c r="D11" s="223"/>
      <c r="E11" s="230"/>
      <c r="F11" s="230"/>
      <c r="G11" s="230"/>
      <c r="H11" s="230"/>
      <c r="I11" s="230"/>
    </row>
    <row r="12" spans="1:9" ht="18.75" customHeight="1">
      <c r="A12" s="230"/>
      <c r="B12" s="223" t="s">
        <v>416</v>
      </c>
      <c r="C12" s="223"/>
      <c r="D12" s="223"/>
      <c r="E12" s="230"/>
      <c r="F12" s="230"/>
      <c r="G12" s="230"/>
      <c r="H12" s="230"/>
      <c r="I12" s="230"/>
    </row>
    <row r="13" spans="1:9" ht="18.75" customHeight="1">
      <c r="A13" s="230"/>
      <c r="B13" s="223" t="s">
        <v>417</v>
      </c>
      <c r="C13" s="223"/>
      <c r="D13" s="223"/>
      <c r="E13" s="230"/>
      <c r="F13" s="230"/>
      <c r="G13" s="230"/>
      <c r="H13" s="230"/>
      <c r="I13" s="230"/>
    </row>
    <row r="14" spans="1:9" s="241" customFormat="1" ht="18.75" customHeight="1">
      <c r="A14" s="239"/>
      <c r="B14" s="220" t="str">
        <f>ROW(1:1)&amp;". "&amp;IF(ISNUMBER(SEARCH("thị",C14)),"Bà: ","Ông:")</f>
        <v>1. Ông:</v>
      </c>
      <c r="C14" s="220" t="str">
        <f>TTinDV!I6</f>
        <v>Trần Văn Hoàng</v>
      </c>
      <c r="D14" s="220"/>
      <c r="E14" s="221"/>
      <c r="F14" s="221" t="str">
        <f>"- "&amp;TTinDV!J6</f>
        <v>- Chủ tịch</v>
      </c>
      <c r="G14" s="240"/>
      <c r="H14" s="221"/>
      <c r="I14" s="221"/>
    </row>
    <row r="15" spans="1:9" s="241" customFormat="1" ht="18.75" customHeight="1">
      <c r="A15" s="239"/>
      <c r="B15" s="220" t="str">
        <f>ROW(2:2)&amp;". "&amp;IF(ISNUMBER(SEARCH("thị",C15)),"  Bà:","Ông:")</f>
        <v>2.   Bà:</v>
      </c>
      <c r="C15" s="220" t="str">
        <f>TTinDV!I7</f>
        <v>Hồ Thị Trương</v>
      </c>
      <c r="D15" s="220"/>
      <c r="E15" s="221"/>
      <c r="F15" s="221" t="str">
        <f>"- "&amp;TTinDV!J7</f>
        <v>- P Chủ tịch</v>
      </c>
      <c r="G15" s="240"/>
      <c r="H15" s="221"/>
      <c r="I15" s="221"/>
    </row>
    <row r="16" spans="1:9" s="241" customFormat="1" ht="18.75" customHeight="1">
      <c r="A16" s="239"/>
      <c r="B16" s="220" t="str">
        <f>ROW(3:3)&amp;". "&amp;IF(ISNUMBER(SEARCH("thị",C16)),"Bà: ","Ông:")</f>
        <v>3. Ông:</v>
      </c>
      <c r="C16" s="220">
        <f>TTinDV!I8</f>
        <v>0</v>
      </c>
      <c r="D16" s="220"/>
      <c r="E16" s="221"/>
      <c r="F16" s="221" t="str">
        <f>"- "&amp;TTinDV!J8</f>
        <v>- </v>
      </c>
      <c r="G16" s="240"/>
      <c r="H16" s="221"/>
      <c r="I16" s="221"/>
    </row>
    <row r="17" spans="1:9" s="241" customFormat="1" ht="18.75" customHeight="1">
      <c r="A17" s="239"/>
      <c r="B17" s="220" t="str">
        <f>ROW(4:4)&amp;". "&amp;IF(ISNUMBER(SEARCH("thị",C17)),"Bà: ","Ông:")</f>
        <v>4. Ông:</v>
      </c>
      <c r="C17" s="220">
        <f>TTinDV!I9</f>
        <v>0</v>
      </c>
      <c r="D17" s="220"/>
      <c r="E17" s="221"/>
      <c r="F17" s="221" t="str">
        <f>"- "&amp;TTinDV!J9</f>
        <v>- </v>
      </c>
      <c r="G17" s="240"/>
      <c r="H17" s="221"/>
      <c r="I17" s="221"/>
    </row>
    <row r="18" spans="1:9" s="241" customFormat="1" ht="18.75" customHeight="1">
      <c r="A18" s="239"/>
      <c r="B18" s="220" t="str">
        <f>ROW(5:5)&amp;". "&amp;IF(ISNUMBER(SEARCH("thị",C18)),"Bà: ","Ông:")</f>
        <v>5. Ông:</v>
      </c>
      <c r="C18" s="220">
        <f>TTinDV!I10</f>
        <v>0</v>
      </c>
      <c r="D18" s="220"/>
      <c r="E18" s="221"/>
      <c r="F18" s="221" t="str">
        <f>"- "&amp;TTinDV!J10</f>
        <v>- </v>
      </c>
      <c r="G18" s="240"/>
      <c r="H18" s="221"/>
      <c r="I18" s="221"/>
    </row>
    <row r="19" spans="1:9" s="241" customFormat="1" ht="18.75" customHeight="1">
      <c r="A19" s="239"/>
      <c r="B19" s="220" t="str">
        <f>ROW(6:6)&amp;". "&amp;IF(ISNUMBER(SEARCH("thị",C19)),"Bà: ","Ông:")</f>
        <v>6. Ông:</v>
      </c>
      <c r="C19" s="220">
        <f>TTinDV!I11</f>
        <v>0</v>
      </c>
      <c r="D19" s="220"/>
      <c r="E19" s="221"/>
      <c r="F19" s="221" t="str">
        <f>"- "&amp;TTinDV!J11</f>
        <v>- </v>
      </c>
      <c r="G19" s="240"/>
      <c r="H19" s="221"/>
      <c r="I19" s="221"/>
    </row>
    <row r="20" spans="1:9" s="241" customFormat="1" ht="18.75" customHeight="1">
      <c r="A20" s="239"/>
      <c r="B20" s="220" t="str">
        <f>ROW(7:7)&amp;". "&amp;IF(ISNUMBER(SEARCH("thị",C20)),"Bà: ","Ông:")</f>
        <v>7. Ông:</v>
      </c>
      <c r="C20" s="220">
        <f>TTinDV!I12</f>
        <v>0</v>
      </c>
      <c r="D20" s="220"/>
      <c r="E20" s="221"/>
      <c r="F20" s="221" t="str">
        <f>"- "&amp;TTinDV!J12</f>
        <v>- </v>
      </c>
      <c r="G20" s="240"/>
      <c r="H20" s="221"/>
      <c r="I20" s="221"/>
    </row>
    <row r="21" spans="1:9" ht="52.5" customHeight="1">
      <c r="A21" s="577" t="s">
        <v>418</v>
      </c>
      <c r="B21" s="577"/>
      <c r="C21" s="577"/>
      <c r="D21" s="577"/>
      <c r="E21" s="577"/>
      <c r="F21" s="577"/>
      <c r="G21" s="577"/>
      <c r="H21" s="577"/>
      <c r="I21" s="577"/>
    </row>
    <row r="22" spans="1:9" ht="34.5" customHeight="1">
      <c r="A22" s="577" t="s">
        <v>419</v>
      </c>
      <c r="B22" s="577"/>
      <c r="C22" s="577"/>
      <c r="D22" s="577"/>
      <c r="E22" s="577"/>
      <c r="F22" s="577"/>
      <c r="G22" s="577"/>
      <c r="H22" s="577"/>
      <c r="I22" s="577"/>
    </row>
    <row r="23" spans="1:9" ht="18.75" customHeight="1">
      <c r="A23" s="230"/>
      <c r="B23" s="223" t="s">
        <v>378</v>
      </c>
      <c r="C23" s="223"/>
      <c r="D23" s="223"/>
      <c r="E23" s="230"/>
      <c r="F23" s="230"/>
      <c r="G23" s="230"/>
      <c r="H23" s="230"/>
      <c r="I23" s="230"/>
    </row>
    <row r="24" spans="1:9" ht="18.75" customHeight="1">
      <c r="A24" s="230"/>
      <c r="B24" s="223" t="s">
        <v>379</v>
      </c>
      <c r="C24" s="223"/>
      <c r="D24" s="223"/>
      <c r="E24" s="230"/>
      <c r="F24" s="230"/>
      <c r="G24" s="230"/>
      <c r="H24" s="230"/>
      <c r="I24" s="230"/>
    </row>
    <row r="25" spans="1:9" ht="18.75" customHeight="1">
      <c r="A25" s="230"/>
      <c r="B25" s="223" t="s">
        <v>380</v>
      </c>
      <c r="C25" s="223"/>
      <c r="D25" s="223"/>
      <c r="E25" s="230"/>
      <c r="F25" s="230"/>
      <c r="G25" s="230"/>
      <c r="H25" s="230"/>
      <c r="I25" s="230"/>
    </row>
    <row r="26" spans="1:9" ht="35.25" customHeight="1">
      <c r="A26" s="577" t="s">
        <v>420</v>
      </c>
      <c r="B26" s="577"/>
      <c r="C26" s="577"/>
      <c r="D26" s="577"/>
      <c r="E26" s="577"/>
      <c r="F26" s="577"/>
      <c r="G26" s="577"/>
      <c r="H26" s="577"/>
      <c r="I26" s="577"/>
    </row>
    <row r="27" spans="1:9" ht="35.25" customHeight="1">
      <c r="A27" s="577" t="s">
        <v>421</v>
      </c>
      <c r="B27" s="577"/>
      <c r="C27" s="577"/>
      <c r="D27" s="577"/>
      <c r="E27" s="577"/>
      <c r="F27" s="577"/>
      <c r="G27" s="577"/>
      <c r="H27" s="577"/>
      <c r="I27" s="577"/>
    </row>
    <row r="28" spans="1:9" ht="18.75" customHeight="1">
      <c r="A28" s="230"/>
      <c r="B28" s="231" t="str">
        <f>TTinDV!L6&amp;". "&amp;IF(ISNUMBER(SEARCH("thị",TTinDV!M6))," Bà:  ","Ông: "&amp;TTinDV!M6)</f>
        <v>1. Ông: </v>
      </c>
      <c r="C28" s="231"/>
      <c r="D28" s="231" t="str">
        <f>"Nơi ở hiện nay: "&amp;TTinDV!N6</f>
        <v>Nơi ở hiện nay: </v>
      </c>
      <c r="E28" s="232"/>
      <c r="F28" s="232"/>
      <c r="G28" s="232"/>
      <c r="H28" s="232"/>
      <c r="I28" s="232"/>
    </row>
    <row r="29" spans="1:9" ht="18.75" customHeight="1">
      <c r="A29" s="230"/>
      <c r="B29" s="231" t="str">
        <f>TTinDV!L7&amp;". "&amp;IF(ISNUMBER(SEARCH("thị",TTinDV!M7))," Bà:  ","Ông: "&amp;TTinDV!M7)</f>
        <v>2. Ông: </v>
      </c>
      <c r="C29" s="231"/>
      <c r="D29" s="231" t="str">
        <f>"Nơi ở hiện nay: "&amp;TTinDV!N7</f>
        <v>Nơi ở hiện nay: </v>
      </c>
      <c r="E29" s="232"/>
      <c r="F29" s="232"/>
      <c r="G29" s="232"/>
      <c r="H29" s="232"/>
      <c r="I29" s="232"/>
    </row>
    <row r="30" spans="1:9" ht="34.5" customHeight="1">
      <c r="A30" s="577" t="s">
        <v>422</v>
      </c>
      <c r="B30" s="577"/>
      <c r="C30" s="577"/>
      <c r="D30" s="577"/>
      <c r="E30" s="577"/>
      <c r="F30" s="577"/>
      <c r="G30" s="577"/>
      <c r="H30" s="577"/>
      <c r="I30" s="577"/>
    </row>
    <row r="31" spans="1:9" ht="18.75" customHeight="1">
      <c r="A31" s="230"/>
      <c r="B31" s="233" t="s">
        <v>383</v>
      </c>
      <c r="C31" s="223"/>
      <c r="D31" s="223"/>
      <c r="E31" s="230"/>
      <c r="F31" s="230"/>
      <c r="G31" s="230"/>
      <c r="H31" s="230"/>
      <c r="I31" s="230"/>
    </row>
    <row r="32" spans="1:9" ht="18.75" customHeight="1">
      <c r="A32" s="232"/>
      <c r="B32" s="231" t="s">
        <v>500</v>
      </c>
      <c r="C32" s="231"/>
      <c r="D32" s="231"/>
      <c r="E32" s="232"/>
      <c r="F32" s="232"/>
      <c r="G32" s="232"/>
      <c r="H32" s="232"/>
      <c r="I32" s="232"/>
    </row>
    <row r="33" spans="1:9" ht="18.75" customHeight="1">
      <c r="A33" s="232"/>
      <c r="B33" s="231" t="s">
        <v>499</v>
      </c>
      <c r="C33" s="231"/>
      <c r="D33" s="231"/>
      <c r="E33" s="232"/>
      <c r="F33" s="232"/>
      <c r="G33" s="232"/>
      <c r="H33" s="232"/>
      <c r="I33" s="232"/>
    </row>
    <row r="34" spans="1:9" ht="18.75" customHeight="1">
      <c r="A34" s="232"/>
      <c r="B34" s="231" t="str">
        <f ca="1">"- Tổng số cử tri của khu vực bỏ phiếu:    "&amp;OFFSET(MauTH!$A$11,MATCH("tổng cộng",MauTH!$A$12:$A$28,),3)&amp;" người"</f>
        <v>- Tổng số cử tri của khu vực bỏ phiếu:     người</v>
      </c>
      <c r="C34" s="231"/>
      <c r="D34" s="231"/>
      <c r="E34" s="232"/>
      <c r="F34" s="234"/>
      <c r="G34" s="232"/>
      <c r="H34" s="232"/>
      <c r="I34" s="232"/>
    </row>
    <row r="35" spans="1:9" ht="18.75" customHeight="1">
      <c r="A35" s="232"/>
      <c r="B35" s="231" t="str">
        <f ca="1">"- Số lượng cử tri đã tham gia bỏ phiếu:   "&amp;OFFSET(MauTH!$A$11,MATCH("tổng cộng",MauTH!$A$12:$A$28,),4)&amp;" người "</f>
        <v>- Số lượng cử tri đã tham gia bỏ phiếu:    người </v>
      </c>
      <c r="C35" s="231"/>
      <c r="D35" s="231"/>
      <c r="E35" s="232"/>
      <c r="F35" s="232"/>
      <c r="G35" s="232"/>
      <c r="H35" s="232"/>
      <c r="I35" s="232"/>
    </row>
    <row r="36" spans="1:9" ht="18.75" customHeight="1">
      <c r="A36" s="232"/>
      <c r="B36" s="231" t="str">
        <f ca="1">"- Tỷ lệ cử tri đã tham gia bỏ phiếu so với tổng số cử tri:  "&amp;TEXT(OFFSET(MauTH!$A$11,MATCH("tổng cộng",MauTH!$A$12:$A$28,),5),"00,00")&amp;"% "</f>
        <v>- Tỷ lệ cử tri đã tham gia bỏ phiếu so với tổng số cử tri:  00,00% </v>
      </c>
      <c r="C36" s="231"/>
      <c r="D36" s="231"/>
      <c r="E36" s="232"/>
      <c r="F36" s="232"/>
      <c r="G36" s="232"/>
      <c r="H36" s="232"/>
      <c r="I36" s="232"/>
    </row>
    <row r="37" spans="1:9" ht="18.75" customHeight="1">
      <c r="A37" s="232"/>
      <c r="B37" s="231" t="str">
        <f ca="1">"- Số phiếu phát ra:    "&amp;OFFSET(MauTH!$A$11,MATCH("tổng cộng",MauTH!$A$12:$A$28,),6)&amp;" phiếu"</f>
        <v>- Số phiếu phát ra:     phiếu</v>
      </c>
      <c r="C37" s="231"/>
      <c r="D37" s="231"/>
      <c r="E37" s="232"/>
      <c r="F37" s="232"/>
      <c r="G37" s="232"/>
      <c r="H37" s="232"/>
      <c r="I37" s="232"/>
    </row>
    <row r="38" spans="1:9" ht="18.75" customHeight="1">
      <c r="A38" s="232"/>
      <c r="B38" s="231" t="str">
        <f ca="1">"- Số phiếu thu vào:   "&amp;OFFSET(MauTH!$A$11,MATCH("tổng cộng",MauTH!$A$12:$A$28,),7)&amp;" phiếu"</f>
        <v>- Số phiếu thu vào:    phiếu</v>
      </c>
      <c r="C38" s="231"/>
      <c r="D38" s="231"/>
      <c r="E38" s="232"/>
      <c r="F38" s="232"/>
      <c r="G38" s="232"/>
      <c r="H38" s="232"/>
      <c r="I38" s="232"/>
    </row>
    <row r="39" spans="1:9" ht="18.75" customHeight="1">
      <c r="A39" s="232"/>
      <c r="B39" s="231" t="str">
        <f ca="1">"- Số phiếu hợp lệ:     "&amp;OFFSET(MauTH!$A$11,MATCH("tổng cộng",MauTH!$A$12:$A$28,),9)&amp;" phiếu. Tỷ lệ so với tổng số phiếu thu vào:  "&amp;ROUND(OFFSET(MauTH!$A$11,MATCH("tổng cộng",MauTH!$A$12:$A$28,),17),2)&amp;"%"</f>
        <v>- Số phiếu hợp lệ:      phiếu. Tỷ lệ so với tổng số phiếu thu vào:  0%</v>
      </c>
      <c r="C39" s="231"/>
      <c r="D39" s="231"/>
      <c r="E39" s="232"/>
      <c r="F39" s="232"/>
      <c r="G39" s="232"/>
      <c r="H39" s="232"/>
      <c r="I39" s="232"/>
    </row>
    <row r="40" spans="1:9" ht="18.75" customHeight="1">
      <c r="A40" s="232"/>
      <c r="B40" s="231" t="str">
        <f ca="1">"- Số phiếu không hợp lệ: "&amp;IF(OFFSET(MauTH!$A$11,MATCH("tổng cộng",MauTH!$A$12:$A$28,),15)=0,".........",TEXT(OFFSET(MauTH!$A$11,MATCH("tổng cộng",MauTH!$A$12:$A$28,),15),"00")&amp;" phiếu. Tỷ lệ so với tổng số phiếu thu vào: "&amp;IF(OFFSET(MauTH!$A$11,MATCH("tổng cộng",MauTH!$A$12:$A$28,),15)=0,".........",ROUND(OFFSET(MauTH!$A$11,MATCH("tổng cộng",MauTH!$A$12:$A$28,),18),2)&amp;"%"))</f>
        <v>- Số phiếu không hợp lệ: .........</v>
      </c>
      <c r="C40" s="231"/>
      <c r="D40" s="231"/>
      <c r="E40" s="232"/>
      <c r="F40" s="232"/>
      <c r="G40" s="232"/>
      <c r="H40" s="232"/>
      <c r="I40" s="232"/>
    </row>
    <row r="41" spans="1:9" ht="18.75" customHeight="1">
      <c r="A41" s="232"/>
      <c r="B41" s="231" t="s">
        <v>423</v>
      </c>
      <c r="C41" s="231"/>
      <c r="D41" s="231"/>
      <c r="E41" s="232"/>
      <c r="F41" s="232"/>
      <c r="G41" s="232"/>
      <c r="H41" s="232"/>
      <c r="I41" s="232"/>
    </row>
    <row r="42" spans="1:9" ht="18.75" customHeight="1">
      <c r="A42" s="221"/>
      <c r="B42" s="220" t="str">
        <f>ROW(1:1)&amp;". "&amp;IF(ISNUMBER(SEARCH("thị",C42)),"Bà: ","Ông:")</f>
        <v>1. Ông:</v>
      </c>
      <c r="C42" s="220" t="str">
        <f>DSUCV!B4</f>
        <v>Hoang BooKi</v>
      </c>
      <c r="D42" s="220"/>
      <c r="E42" s="310" t="s">
        <v>398</v>
      </c>
      <c r="F42" s="221" t="str">
        <f ca="1">OFFSET(MauTH!$A$11,MATCH("tổng cộng",MauTH!$A$12:$A$28,),19+ROW(1:1))&amp;" phiếu/ "&amp;OFFSET(MauTH!$A$11,MATCH("tổng cộng",MauTH!$A$12:$A$28,),9)&amp;" phiếu hợp lệ"</f>
        <v> phiếu/  phiếu hợp lệ</v>
      </c>
      <c r="G42" s="221"/>
      <c r="H42" s="232"/>
      <c r="I42" s="232"/>
    </row>
    <row r="43" spans="1:9" ht="18.75" customHeight="1">
      <c r="A43" s="221"/>
      <c r="B43" s="220" t="str">
        <f>ROW(2:2)&amp;". "&amp;IF(ISNUMBER(SEARCH("thị",C43)),"Bà: ","Ông:")</f>
        <v>2. Ông:</v>
      </c>
      <c r="C43" s="220" t="str">
        <f>DSUCV!B5</f>
        <v>Trấn B</v>
      </c>
      <c r="D43" s="220"/>
      <c r="E43" s="310" t="s">
        <v>398</v>
      </c>
      <c r="F43" s="221" t="str">
        <f ca="1">OFFSET(MauTH!$A$11,MATCH("tổng cộng",MauTH!$A$12:$A$28,),19+ROW(2:2))&amp;" phiếu/ "&amp;OFFSET(MauTH!$A$11,MATCH("tổng cộng",MauTH!$A$12:$A$28,),9)&amp;" phiếu hợp lệ"</f>
        <v> phiếu/  phiếu hợp lệ</v>
      </c>
      <c r="G43" s="221"/>
      <c r="H43" s="232"/>
      <c r="I43" s="232"/>
    </row>
    <row r="44" spans="1:9" ht="18.75" customHeight="1">
      <c r="A44" s="221"/>
      <c r="B44" s="220" t="str">
        <f>ROW(3:3)&amp;". "&amp;IF(ISNUMBER(SEARCH("thị",C44)),"Bà: ","Ông:")</f>
        <v>3. Ông:</v>
      </c>
      <c r="C44" s="220" t="str">
        <f>DSUCV!B6</f>
        <v>Hồ C</v>
      </c>
      <c r="D44" s="220"/>
      <c r="E44" s="310" t="s">
        <v>398</v>
      </c>
      <c r="F44" s="221" t="str">
        <f ca="1">OFFSET(MauTH!$A$11,MATCH("tổng cộng",MauTH!$A$12:$A$28,),19+ROW(3:3))&amp;" phiếu/ "&amp;OFFSET(MauTH!$A$11,MATCH("tổng cộng",MauTH!$A$12:$A$28,),9)&amp;" phiếu hợp lệ"</f>
        <v> phiếu/  phiếu hợp lệ</v>
      </c>
      <c r="G44" s="221"/>
      <c r="H44" s="232"/>
      <c r="I44" s="232"/>
    </row>
    <row r="45" spans="1:9" ht="18.75" customHeight="1">
      <c r="A45" s="221"/>
      <c r="B45" s="220" t="str">
        <f>ROW(4:4)&amp;". "&amp;IF(ISNUMBER(SEARCH("thị",C45)),"Bà: ","Ông:")</f>
        <v>4. Ông:</v>
      </c>
      <c r="C45" s="220" t="str">
        <f>DSUCV!B7</f>
        <v>UV A1</v>
      </c>
      <c r="D45" s="220"/>
      <c r="E45" s="310" t="s">
        <v>398</v>
      </c>
      <c r="F45" s="221" t="str">
        <f ca="1">OFFSET(MauTH!$A$11,MATCH("tổng cộng",MauTH!$A$12:$A$28,),19+ROW(4:4))&amp;" phiếu/ "&amp;OFFSET(MauTH!$A$11,MATCH("tổng cộng",MauTH!$A$12:$A$28,),9)&amp;" phiếu hợp lệ"</f>
        <v> phiếu/  phiếu hợp lệ</v>
      </c>
      <c r="G45" s="221"/>
      <c r="H45" s="232"/>
      <c r="I45" s="232"/>
    </row>
    <row r="46" spans="1:9" ht="18.75" customHeight="1">
      <c r="A46" s="221"/>
      <c r="B46" s="220" t="str">
        <f>ROW(5:5)&amp;". "&amp;IF(ISNUMBER(SEARCH("thị",C46)),"Bà: ","Ông:")</f>
        <v>5. Ông:</v>
      </c>
      <c r="C46" s="220" t="str">
        <f>DSUCV!B8</f>
        <v>UV A2</v>
      </c>
      <c r="D46" s="220"/>
      <c r="E46" s="310" t="s">
        <v>398</v>
      </c>
      <c r="F46" s="221" t="str">
        <f ca="1">OFFSET(MauTH!$A$11,MATCH("tổng cộng",MauTH!$A$12:$A$28,),19+ROW(5:5))&amp;" phiếu/ "&amp;OFFSET(MauTH!$A$11,MATCH("tổng cộng",MauTH!$A$12:$A$28,),9)&amp;" phiếu hợp lệ"</f>
        <v> phiếu/  phiếu hợp lệ</v>
      </c>
      <c r="G46" s="221"/>
      <c r="H46" s="232"/>
      <c r="I46" s="232"/>
    </row>
    <row r="47" spans="1:9" ht="18.75" customHeight="1">
      <c r="A47" s="230"/>
      <c r="B47" s="223" t="s">
        <v>424</v>
      </c>
      <c r="C47" s="223"/>
      <c r="D47" s="223"/>
      <c r="E47" s="230"/>
      <c r="F47" s="230"/>
      <c r="G47" s="230"/>
      <c r="H47" s="230"/>
      <c r="I47" s="230"/>
    </row>
    <row r="48" spans="1:9" ht="18.75" customHeight="1">
      <c r="A48" s="230"/>
      <c r="B48" s="223" t="s">
        <v>425</v>
      </c>
      <c r="C48" s="223"/>
      <c r="D48" s="223"/>
      <c r="E48" s="230"/>
      <c r="F48" s="230"/>
      <c r="G48" s="230"/>
      <c r="H48" s="230"/>
      <c r="I48" s="230"/>
    </row>
    <row r="49" spans="1:9" ht="18.75" customHeight="1">
      <c r="A49" s="230"/>
      <c r="B49" s="223" t="s">
        <v>385</v>
      </c>
      <c r="C49" s="223"/>
      <c r="D49" s="223"/>
      <c r="E49" s="230"/>
      <c r="F49" s="230"/>
      <c r="G49" s="230"/>
      <c r="H49" s="230"/>
      <c r="I49" s="230"/>
    </row>
    <row r="50" spans="1:9" ht="18.75" customHeight="1">
      <c r="A50" s="230"/>
      <c r="B50" s="223" t="s">
        <v>385</v>
      </c>
      <c r="C50" s="223"/>
      <c r="D50" s="223"/>
      <c r="E50" s="230"/>
      <c r="F50" s="230"/>
      <c r="G50" s="230"/>
      <c r="H50" s="230"/>
      <c r="I50" s="230"/>
    </row>
    <row r="51" spans="1:9" ht="18.75" customHeight="1">
      <c r="A51" s="230"/>
      <c r="B51" s="223" t="s">
        <v>426</v>
      </c>
      <c r="C51" s="223"/>
      <c r="D51" s="223"/>
      <c r="E51" s="230"/>
      <c r="F51" s="230"/>
      <c r="G51" s="230"/>
      <c r="H51" s="230"/>
      <c r="I51" s="230"/>
    </row>
    <row r="52" spans="1:9" ht="18.75" customHeight="1">
      <c r="A52" s="230"/>
      <c r="B52" s="223" t="s">
        <v>427</v>
      </c>
      <c r="C52" s="223"/>
      <c r="D52" s="223"/>
      <c r="E52" s="230"/>
      <c r="F52" s="230"/>
      <c r="G52" s="230"/>
      <c r="H52" s="230"/>
      <c r="I52" s="230"/>
    </row>
    <row r="53" spans="1:9" ht="18.75" customHeight="1">
      <c r="A53" s="230"/>
      <c r="B53" s="223" t="s">
        <v>427</v>
      </c>
      <c r="C53" s="223"/>
      <c r="D53" s="223"/>
      <c r="E53" s="230"/>
      <c r="F53" s="230"/>
      <c r="G53" s="230"/>
      <c r="H53" s="230"/>
      <c r="I53" s="230"/>
    </row>
    <row r="54" spans="1:9" ht="18.75" customHeight="1">
      <c r="A54" s="230"/>
      <c r="B54" s="223" t="s">
        <v>427</v>
      </c>
      <c r="C54" s="223"/>
      <c r="D54" s="223"/>
      <c r="E54" s="230"/>
      <c r="F54" s="230"/>
      <c r="G54" s="230"/>
      <c r="H54" s="230"/>
      <c r="I54" s="230"/>
    </row>
    <row r="55" spans="1:9" ht="18.75" customHeight="1">
      <c r="A55" s="230"/>
      <c r="B55" s="223" t="s">
        <v>427</v>
      </c>
      <c r="C55" s="223"/>
      <c r="D55" s="223"/>
      <c r="E55" s="230"/>
      <c r="F55" s="230"/>
      <c r="G55" s="230"/>
      <c r="H55" s="230"/>
      <c r="I55" s="230"/>
    </row>
    <row r="56" spans="1:9" ht="57.75" customHeight="1">
      <c r="A56" s="577" t="s">
        <v>428</v>
      </c>
      <c r="B56" s="577"/>
      <c r="C56" s="577"/>
      <c r="D56" s="577"/>
      <c r="E56" s="577"/>
      <c r="F56" s="577"/>
      <c r="G56" s="577"/>
      <c r="H56" s="577"/>
      <c r="I56" s="577"/>
    </row>
    <row r="57" spans="1:9" ht="12.75" customHeight="1">
      <c r="A57" s="222"/>
      <c r="B57" s="227"/>
      <c r="C57" s="223"/>
      <c r="D57" s="223"/>
      <c r="E57" s="222"/>
      <c r="F57" s="222"/>
      <c r="G57" s="222"/>
      <c r="H57" s="222"/>
      <c r="I57" s="222"/>
    </row>
    <row r="58" spans="1:9" ht="16.5">
      <c r="A58" s="572" t="s">
        <v>388</v>
      </c>
      <c r="B58" s="572"/>
      <c r="C58" s="572"/>
      <c r="D58" s="572" t="s">
        <v>390</v>
      </c>
      <c r="E58" s="572"/>
      <c r="F58" s="572"/>
      <c r="G58" s="235"/>
      <c r="H58" s="236" t="s">
        <v>389</v>
      </c>
      <c r="I58" s="235"/>
    </row>
    <row r="59" spans="1:9" ht="16.5">
      <c r="A59" s="572" t="s">
        <v>397</v>
      </c>
      <c r="B59" s="572"/>
      <c r="C59" s="572"/>
      <c r="D59" s="572" t="s">
        <v>393</v>
      </c>
      <c r="E59" s="572"/>
      <c r="F59" s="572"/>
      <c r="G59" s="235"/>
      <c r="H59" s="236" t="s">
        <v>392</v>
      </c>
      <c r="I59" s="235"/>
    </row>
    <row r="60" spans="1:9" ht="16.5">
      <c r="A60" s="573" t="s">
        <v>394</v>
      </c>
      <c r="B60" s="573"/>
      <c r="C60" s="573"/>
      <c r="D60" s="573" t="s">
        <v>395</v>
      </c>
      <c r="E60" s="573"/>
      <c r="F60" s="573"/>
      <c r="G60" s="237"/>
      <c r="H60" s="238" t="s">
        <v>394</v>
      </c>
      <c r="I60" s="237"/>
    </row>
    <row r="61" spans="1:9" ht="16.5">
      <c r="A61" s="222"/>
      <c r="B61" s="227"/>
      <c r="C61" s="222"/>
      <c r="D61" s="573"/>
      <c r="E61" s="573"/>
      <c r="F61" s="573"/>
      <c r="G61" s="222"/>
      <c r="H61" s="222"/>
      <c r="I61" s="222"/>
    </row>
    <row r="62" spans="1:9" ht="16.5">
      <c r="A62" s="222"/>
      <c r="B62" s="227"/>
      <c r="C62" s="222"/>
      <c r="D62" s="238"/>
      <c r="E62" s="238"/>
      <c r="F62" s="238"/>
      <c r="G62" s="222"/>
      <c r="H62" s="222"/>
      <c r="I62" s="222"/>
    </row>
    <row r="63" spans="1:9" ht="16.5">
      <c r="A63" s="222"/>
      <c r="B63" s="227"/>
      <c r="C63" s="222"/>
      <c r="D63" s="237"/>
      <c r="E63" s="237"/>
      <c r="F63" s="237"/>
      <c r="G63" s="222"/>
      <c r="H63" s="222"/>
      <c r="I63" s="222"/>
    </row>
    <row r="64" spans="1:9" ht="16.5">
      <c r="A64" s="222"/>
      <c r="B64" s="227"/>
      <c r="C64" s="222"/>
      <c r="D64" s="237"/>
      <c r="E64" s="237"/>
      <c r="F64" s="237"/>
      <c r="G64" s="222"/>
      <c r="H64" s="222"/>
      <c r="I64" s="222"/>
    </row>
    <row r="65" spans="1:9" ht="16.5">
      <c r="A65" s="222"/>
      <c r="B65" s="227"/>
      <c r="C65" s="227"/>
      <c r="D65" s="228"/>
      <c r="E65" s="222"/>
      <c r="F65" s="222"/>
      <c r="G65" s="222"/>
      <c r="H65" s="222"/>
      <c r="I65" s="222"/>
    </row>
    <row r="66" spans="1:9" ht="23.25" customHeight="1">
      <c r="A66" s="575">
        <f>TTinDV!M6</f>
        <v>0</v>
      </c>
      <c r="B66" s="575"/>
      <c r="C66" s="575"/>
      <c r="D66" s="576" t="str">
        <f>TTinDV!I6</f>
        <v>Trần Văn Hoàng</v>
      </c>
      <c r="E66" s="576"/>
      <c r="F66" s="576"/>
      <c r="G66" s="578"/>
      <c r="H66" s="578"/>
      <c r="I66" s="578"/>
    </row>
    <row r="67" spans="1:9" ht="16.5">
      <c r="A67" s="572" t="s">
        <v>396</v>
      </c>
      <c r="B67" s="572"/>
      <c r="C67" s="572"/>
      <c r="D67" s="228"/>
      <c r="E67" s="222"/>
      <c r="F67" s="222"/>
      <c r="G67" s="222"/>
      <c r="H67" s="222"/>
      <c r="I67" s="222"/>
    </row>
    <row r="68" spans="1:9" ht="16.5">
      <c r="A68" s="572" t="s">
        <v>397</v>
      </c>
      <c r="B68" s="572"/>
      <c r="C68" s="572"/>
      <c r="D68" s="228"/>
      <c r="E68" s="222"/>
      <c r="F68" s="222"/>
      <c r="G68" s="222"/>
      <c r="H68" s="222"/>
      <c r="I68" s="222"/>
    </row>
    <row r="69" spans="1:9" ht="16.5">
      <c r="A69" s="573" t="s">
        <v>394</v>
      </c>
      <c r="B69" s="573"/>
      <c r="C69" s="573"/>
      <c r="D69" s="222"/>
      <c r="E69" s="222"/>
      <c r="F69" s="222"/>
      <c r="G69" s="222"/>
      <c r="H69" s="222"/>
      <c r="I69" s="222"/>
    </row>
    <row r="70" spans="1:9" ht="16.5">
      <c r="A70" s="222"/>
      <c r="B70" s="222"/>
      <c r="C70" s="222"/>
      <c r="D70" s="222"/>
      <c r="E70" s="222"/>
      <c r="F70" s="222"/>
      <c r="G70" s="222"/>
      <c r="H70" s="222"/>
      <c r="I70" s="222"/>
    </row>
    <row r="71" spans="1:9" ht="16.5">
      <c r="A71" s="222"/>
      <c r="B71" s="222"/>
      <c r="C71" s="222"/>
      <c r="D71" s="222"/>
      <c r="E71" s="222"/>
      <c r="F71" s="222"/>
      <c r="G71" s="222"/>
      <c r="H71" s="222"/>
      <c r="I71" s="222"/>
    </row>
    <row r="72" spans="1:9" ht="16.5">
      <c r="A72" s="222"/>
      <c r="B72" s="222"/>
      <c r="C72" s="222"/>
      <c r="D72" s="222"/>
      <c r="E72" s="222"/>
      <c r="F72" s="222"/>
      <c r="G72" s="222"/>
      <c r="H72" s="222"/>
      <c r="I72" s="222"/>
    </row>
    <row r="73" spans="1:9" ht="16.5">
      <c r="A73" s="222"/>
      <c r="B73" s="222"/>
      <c r="C73" s="222"/>
      <c r="D73" s="222"/>
      <c r="E73" s="222"/>
      <c r="F73" s="222"/>
      <c r="G73" s="222"/>
      <c r="H73" s="222"/>
      <c r="I73" s="222"/>
    </row>
    <row r="74" spans="1:9" ht="16.5">
      <c r="A74" s="222"/>
      <c r="B74" s="222"/>
      <c r="C74" s="222"/>
      <c r="D74" s="222"/>
      <c r="E74" s="222"/>
      <c r="F74" s="222"/>
      <c r="G74" s="222"/>
      <c r="H74" s="222"/>
      <c r="I74" s="222"/>
    </row>
    <row r="75" spans="1:3" ht="21" customHeight="1">
      <c r="A75" s="574">
        <f>TTinDV!M7</f>
        <v>0</v>
      </c>
      <c r="B75" s="574"/>
      <c r="C75" s="574"/>
    </row>
  </sheetData>
  <sheetProtection formatCells="0" insertRows="0" deleteRows="0"/>
  <mergeCells count="24">
    <mergeCell ref="A21:I21"/>
    <mergeCell ref="A22:I22"/>
    <mergeCell ref="D3:I3"/>
    <mergeCell ref="D4:I4"/>
    <mergeCell ref="A7:I7"/>
    <mergeCell ref="A8:I8"/>
    <mergeCell ref="D66:F66"/>
    <mergeCell ref="A26:I26"/>
    <mergeCell ref="A27:I27"/>
    <mergeCell ref="A30:I30"/>
    <mergeCell ref="A56:I56"/>
    <mergeCell ref="A58:C58"/>
    <mergeCell ref="D58:F58"/>
    <mergeCell ref="G66:I66"/>
    <mergeCell ref="A67:C67"/>
    <mergeCell ref="A68:C68"/>
    <mergeCell ref="A69:C69"/>
    <mergeCell ref="A75:C75"/>
    <mergeCell ref="A59:C59"/>
    <mergeCell ref="D59:F59"/>
    <mergeCell ref="A60:C60"/>
    <mergeCell ref="D60:F60"/>
    <mergeCell ref="D61:F61"/>
    <mergeCell ref="A66:C66"/>
  </mergeCells>
  <printOptions/>
  <pageMargins left="0.92" right="0.31" top="0.55" bottom="0.42" header="0.3" footer="0.3"/>
  <pageSetup fitToHeight="0" fitToWidth="1"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sheetPr codeName="Sheet8"/>
  <dimension ref="B3:L21"/>
  <sheetViews>
    <sheetView showGridLines="0" showRowColHeaders="0" showZeros="0" tabSelected="1" zoomScale="80" zoomScaleNormal="80" zoomScalePageLayoutView="0" workbookViewId="0" topLeftCell="A1">
      <selection activeCell="L13" sqref="L13"/>
    </sheetView>
  </sheetViews>
  <sheetFormatPr defaultColWidth="0" defaultRowHeight="15.75"/>
  <cols>
    <col min="1" max="1" width="9.00390625" style="149" customWidth="1"/>
    <col min="2" max="2" width="6.625" style="148" customWidth="1"/>
    <col min="3" max="11" width="9.00390625" style="149" customWidth="1"/>
    <col min="12" max="12" width="23.625" style="149" customWidth="1"/>
    <col min="13" max="13" width="5.875" style="149" customWidth="1"/>
    <col min="14" max="14" width="9.00390625" style="149" customWidth="1"/>
    <col min="15" max="16384" width="0" style="149" hidden="1" customWidth="1"/>
  </cols>
  <sheetData>
    <row r="1" ht="25.5" customHeight="1"/>
    <row r="2" ht="25.5" customHeight="1"/>
    <row r="3" spans="3:12" ht="26.25" customHeight="1">
      <c r="C3" s="152"/>
      <c r="D3" s="152"/>
      <c r="E3" s="152"/>
      <c r="F3" s="152"/>
      <c r="G3" s="152"/>
      <c r="H3" s="152"/>
      <c r="I3" s="152"/>
      <c r="J3" s="152"/>
      <c r="K3" s="152"/>
      <c r="L3" s="152"/>
    </row>
    <row r="4" spans="3:12" ht="15.75">
      <c r="C4" s="152"/>
      <c r="D4" s="152"/>
      <c r="E4" s="152"/>
      <c r="F4" s="152"/>
      <c r="G4" s="152"/>
      <c r="H4" s="152"/>
      <c r="I4" s="152"/>
      <c r="J4" s="152"/>
      <c r="K4" s="152"/>
      <c r="L4" s="152"/>
    </row>
    <row r="5" spans="3:12" ht="15.75">
      <c r="C5" s="152"/>
      <c r="D5" s="152"/>
      <c r="E5" s="152"/>
      <c r="F5" s="152"/>
      <c r="G5" s="152"/>
      <c r="H5" s="152"/>
      <c r="I5" s="152"/>
      <c r="J5" s="152"/>
      <c r="K5" s="152"/>
      <c r="L5" s="152"/>
    </row>
    <row r="6" spans="3:12" ht="15.75">
      <c r="C6" s="152"/>
      <c r="D6" s="152"/>
      <c r="E6" s="152"/>
      <c r="F6" s="152"/>
      <c r="G6" s="152"/>
      <c r="H6" s="152"/>
      <c r="I6" s="152"/>
      <c r="J6" s="152"/>
      <c r="K6" s="152"/>
      <c r="L6" s="152"/>
    </row>
    <row r="7" spans="2:12" s="151" customFormat="1" ht="21.75" customHeight="1">
      <c r="B7" s="150"/>
      <c r="C7" s="153"/>
      <c r="D7" s="153"/>
      <c r="E7" s="153"/>
      <c r="F7" s="153"/>
      <c r="G7" s="153"/>
      <c r="H7" s="153"/>
      <c r="I7" s="153"/>
      <c r="J7" s="153"/>
      <c r="K7" s="153"/>
      <c r="L7" s="153"/>
    </row>
    <row r="8" spans="3:12" ht="15.75">
      <c r="C8" s="152"/>
      <c r="D8" s="152"/>
      <c r="E8" s="152"/>
      <c r="F8" s="152"/>
      <c r="G8" s="152"/>
      <c r="H8" s="152"/>
      <c r="I8" s="152"/>
      <c r="J8" s="152"/>
      <c r="K8" s="152"/>
      <c r="L8" s="152"/>
    </row>
    <row r="9" spans="3:12" ht="15.75">
      <c r="C9" s="152"/>
      <c r="D9" s="152"/>
      <c r="E9" s="152"/>
      <c r="F9" s="152"/>
      <c r="G9" s="152"/>
      <c r="H9" s="152"/>
      <c r="I9" s="152"/>
      <c r="J9" s="152"/>
      <c r="K9" s="152"/>
      <c r="L9" s="152"/>
    </row>
    <row r="10" spans="3:12" ht="15.75">
      <c r="C10" s="152"/>
      <c r="D10" s="152"/>
      <c r="E10" s="152"/>
      <c r="F10" s="152"/>
      <c r="G10" s="152"/>
      <c r="H10" s="152"/>
      <c r="I10" s="152"/>
      <c r="J10" s="152"/>
      <c r="K10" s="152"/>
      <c r="L10" s="152"/>
    </row>
    <row r="11" spans="3:12" ht="15.75">
      <c r="C11" s="152"/>
      <c r="D11" s="152"/>
      <c r="E11" s="152"/>
      <c r="F11" s="152"/>
      <c r="G11" s="152"/>
      <c r="H11" s="152"/>
      <c r="I11" s="152"/>
      <c r="J11" s="152"/>
      <c r="K11" s="152"/>
      <c r="L11" s="152"/>
    </row>
    <row r="12" spans="3:12" ht="15.75">
      <c r="C12" s="152"/>
      <c r="D12" s="152"/>
      <c r="E12" s="152"/>
      <c r="F12" s="152"/>
      <c r="G12" s="152"/>
      <c r="H12" s="152"/>
      <c r="I12" s="152"/>
      <c r="J12" s="152"/>
      <c r="K12" s="152"/>
      <c r="L12" s="152"/>
    </row>
    <row r="13" spans="3:12" ht="24" customHeight="1">
      <c r="C13" s="152"/>
      <c r="D13" s="152"/>
      <c r="E13" s="152"/>
      <c r="F13" s="152"/>
      <c r="G13" s="152"/>
      <c r="H13" s="152"/>
      <c r="I13" s="152"/>
      <c r="J13" s="152"/>
      <c r="K13" s="152"/>
      <c r="L13" s="152"/>
    </row>
    <row r="14" spans="3:12" ht="15.75">
      <c r="C14" s="152"/>
      <c r="D14" s="152"/>
      <c r="E14" s="152"/>
      <c r="F14" s="152"/>
      <c r="G14" s="152"/>
      <c r="H14" s="152"/>
      <c r="I14" s="152"/>
      <c r="J14" s="152"/>
      <c r="K14" s="152"/>
      <c r="L14" s="152"/>
    </row>
    <row r="15" spans="3:12" ht="14.25" customHeight="1">
      <c r="C15" s="152"/>
      <c r="D15" s="152"/>
      <c r="E15" s="152"/>
      <c r="F15" s="152"/>
      <c r="G15" s="152"/>
      <c r="H15" s="152"/>
      <c r="I15" s="152"/>
      <c r="J15" s="152"/>
      <c r="K15" s="152"/>
      <c r="L15" s="152"/>
    </row>
    <row r="16" spans="2:12" s="151" customFormat="1" ht="21.75" customHeight="1">
      <c r="B16" s="150"/>
      <c r="C16" s="153"/>
      <c r="D16" s="153"/>
      <c r="E16" s="153"/>
      <c r="F16" s="153"/>
      <c r="G16" s="153"/>
      <c r="H16" s="153"/>
      <c r="I16" s="153"/>
      <c r="J16" s="153"/>
      <c r="K16" s="153"/>
      <c r="L16" s="153"/>
    </row>
    <row r="17" spans="3:12" ht="15.75">
      <c r="C17" s="152"/>
      <c r="D17" s="152"/>
      <c r="E17" s="152"/>
      <c r="F17" s="152"/>
      <c r="G17" s="152"/>
      <c r="H17" s="152"/>
      <c r="I17" s="152"/>
      <c r="J17" s="152"/>
      <c r="K17" s="152"/>
      <c r="L17" s="152"/>
    </row>
    <row r="18" spans="3:12" ht="15.75">
      <c r="C18" s="152"/>
      <c r="D18" s="152"/>
      <c r="E18" s="152"/>
      <c r="F18" s="152"/>
      <c r="G18" s="152"/>
      <c r="H18" s="152"/>
      <c r="I18" s="152"/>
      <c r="J18" s="152"/>
      <c r="K18" s="152"/>
      <c r="L18" s="152"/>
    </row>
    <row r="19" spans="3:12" ht="15.75">
      <c r="C19" s="152"/>
      <c r="D19" s="152"/>
      <c r="E19" s="152"/>
      <c r="F19" s="152"/>
      <c r="G19" s="152"/>
      <c r="H19" s="152"/>
      <c r="I19" s="152"/>
      <c r="J19" s="152"/>
      <c r="K19" s="152"/>
      <c r="L19" s="152"/>
    </row>
    <row r="20" spans="3:12" ht="34.5" customHeight="1">
      <c r="C20" s="152"/>
      <c r="D20" s="152"/>
      <c r="E20" s="152"/>
      <c r="F20" s="152"/>
      <c r="G20" s="152"/>
      <c r="H20" s="152"/>
      <c r="I20" s="152"/>
      <c r="J20" s="152"/>
      <c r="K20" s="152"/>
      <c r="L20" s="152"/>
    </row>
    <row r="21" spans="3:12" ht="15.75">
      <c r="C21" s="152"/>
      <c r="D21" s="152"/>
      <c r="E21" s="152"/>
      <c r="F21" s="152"/>
      <c r="G21" s="152"/>
      <c r="H21" s="152"/>
      <c r="I21" s="152"/>
      <c r="J21" s="152"/>
      <c r="K21" s="152"/>
      <c r="L21" s="152"/>
    </row>
  </sheetData>
  <sheetProtection selectLockedCells="1"/>
  <printOptions/>
  <pageMargins left="0.7" right="0.7"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N50"/>
  <sheetViews>
    <sheetView showGridLines="0" showRowColHeaders="0" zoomScale="80" zoomScaleNormal="80" zoomScalePageLayoutView="0" workbookViewId="0" topLeftCell="A1">
      <pane xSplit="14" ySplit="5" topLeftCell="O6" activePane="bottomRight" state="frozen"/>
      <selection pane="topLeft" activeCell="L10" sqref="L10"/>
      <selection pane="topRight" activeCell="L10" sqref="L10"/>
      <selection pane="bottomLeft" activeCell="L10" sqref="L10"/>
      <selection pane="bottomRight" activeCell="A3" sqref="A3:F3"/>
    </sheetView>
  </sheetViews>
  <sheetFormatPr defaultColWidth="0" defaultRowHeight="15.75" zeroHeight="1"/>
  <cols>
    <col min="1" max="1" width="4.00390625" style="40" customWidth="1"/>
    <col min="2" max="2" width="14.875" style="55" customWidth="1"/>
    <col min="3" max="3" width="56.875" style="55" customWidth="1"/>
    <col min="4" max="5" width="6.00390625" style="42" customWidth="1"/>
    <col min="6" max="6" width="6.00390625" style="42" hidden="1" customWidth="1"/>
    <col min="7" max="7" width="0.5" style="40" customWidth="1"/>
    <col min="8" max="8" width="3.625" style="40" customWidth="1"/>
    <col min="9" max="9" width="25.00390625" style="40" customWidth="1"/>
    <col min="10" max="10" width="13.625" style="40" customWidth="1"/>
    <col min="11" max="11" width="0.37109375" style="40" customWidth="1"/>
    <col min="12" max="12" width="3.625" style="40" customWidth="1"/>
    <col min="13" max="13" width="20.375" style="40" customWidth="1"/>
    <col min="14" max="14" width="17.00390625" style="40" customWidth="1"/>
    <col min="15" max="16384" width="9.00390625" style="40" hidden="1" customWidth="1"/>
  </cols>
  <sheetData>
    <row r="1" spans="1:14" ht="27" customHeight="1">
      <c r="A1" s="54"/>
      <c r="B1" s="59"/>
      <c r="C1" s="59"/>
      <c r="D1" s="60"/>
      <c r="E1" s="60"/>
      <c r="F1" s="60"/>
      <c r="G1" s="54"/>
      <c r="H1" s="54"/>
      <c r="I1" s="54"/>
      <c r="J1" s="54"/>
      <c r="K1" s="54"/>
      <c r="L1" s="54"/>
      <c r="M1" s="54"/>
      <c r="N1" s="54"/>
    </row>
    <row r="2" spans="1:14" s="49" customFormat="1" ht="30.75" customHeight="1">
      <c r="A2" s="368" t="s">
        <v>222</v>
      </c>
      <c r="B2" s="368"/>
      <c r="C2" s="368"/>
      <c r="D2" s="368"/>
      <c r="E2" s="368"/>
      <c r="F2" s="368"/>
      <c r="G2" s="51"/>
      <c r="H2" s="370" t="s">
        <v>502</v>
      </c>
      <c r="I2" s="371"/>
      <c r="J2" s="371"/>
      <c r="K2" s="51"/>
      <c r="L2" s="374" t="s">
        <v>226</v>
      </c>
      <c r="M2" s="375"/>
      <c r="N2" s="376"/>
    </row>
    <row r="3" spans="1:14" s="3" customFormat="1" ht="18.75" customHeight="1">
      <c r="A3" s="369" t="s">
        <v>531</v>
      </c>
      <c r="B3" s="369"/>
      <c r="C3" s="369"/>
      <c r="D3" s="369"/>
      <c r="E3" s="369"/>
      <c r="F3" s="369"/>
      <c r="G3" s="52"/>
      <c r="H3" s="372"/>
      <c r="I3" s="373"/>
      <c r="J3" s="373"/>
      <c r="K3" s="52"/>
      <c r="L3" s="377"/>
      <c r="M3" s="378"/>
      <c r="N3" s="379"/>
    </row>
    <row r="4" spans="1:14" s="3" customFormat="1" ht="60" customHeight="1">
      <c r="A4" s="43" t="s">
        <v>221</v>
      </c>
      <c r="B4" s="44" t="s">
        <v>40</v>
      </c>
      <c r="C4" s="44" t="s">
        <v>51</v>
      </c>
      <c r="D4" s="44" t="s">
        <v>41</v>
      </c>
      <c r="E4" s="44" t="s">
        <v>42</v>
      </c>
      <c r="F4" s="44" t="s">
        <v>43</v>
      </c>
      <c r="G4" s="52"/>
      <c r="H4" s="68" t="s">
        <v>225</v>
      </c>
      <c r="I4" s="68" t="s">
        <v>223</v>
      </c>
      <c r="J4" s="68" t="s">
        <v>224</v>
      </c>
      <c r="K4" s="52"/>
      <c r="L4" s="66" t="s">
        <v>225</v>
      </c>
      <c r="M4" s="66" t="s">
        <v>223</v>
      </c>
      <c r="N4" s="66" t="s">
        <v>227</v>
      </c>
    </row>
    <row r="5" spans="1:14" s="48" customFormat="1" ht="12.75" hidden="1" thickBot="1" thickTop="1">
      <c r="A5" s="46">
        <f>MAX(A6:A26)</f>
        <v>9</v>
      </c>
      <c r="B5" s="46"/>
      <c r="C5" s="46"/>
      <c r="D5" s="47">
        <f>SUM(D6:D29)</f>
        <v>27</v>
      </c>
      <c r="E5" s="47">
        <f>SUM(E6:E29)</f>
        <v>45</v>
      </c>
      <c r="F5" s="47">
        <f>SUM(F6:F29)</f>
        <v>0</v>
      </c>
      <c r="G5" s="53"/>
      <c r="H5" s="50"/>
      <c r="I5" s="50"/>
      <c r="J5" s="50"/>
      <c r="K5" s="53"/>
      <c r="L5" s="50"/>
      <c r="M5" s="50"/>
      <c r="N5" s="50"/>
    </row>
    <row r="6" spans="1:14" ht="15.75">
      <c r="A6" s="45">
        <v>1</v>
      </c>
      <c r="B6" s="41" t="str">
        <f>$B$4&amp;" số "&amp;A6</f>
        <v>Tổ BC số 1</v>
      </c>
      <c r="C6" s="184" t="str">
        <f ca="1">OFFSET('DL'!$D$6,MATCH(TenXa,'DL'!$B$7:$B$157,0)+TTinDV!A6-1,)</f>
        <v>Thôn Hướng Choa</v>
      </c>
      <c r="D6" s="42">
        <f ca="1">OFFSET('DL'!$D$6,MATCH(TenXa,'DL'!$B$7:$B$157,0)+TTinDV!A6-1,1)</f>
        <v>2</v>
      </c>
      <c r="E6" s="42">
        <f ca="1">OFFSET('DL'!$D$6,MATCH(TenXa,'DL'!$B$7:$B$157,0)+TTinDV!A6-1,2)</f>
        <v>3</v>
      </c>
      <c r="G6" s="54"/>
      <c r="H6" s="61">
        <v>1</v>
      </c>
      <c r="I6" s="63" t="s">
        <v>228</v>
      </c>
      <c r="J6" s="67" t="s">
        <v>362</v>
      </c>
      <c r="K6" s="56"/>
      <c r="L6" s="58">
        <v>1</v>
      </c>
      <c r="M6" s="63"/>
      <c r="N6" s="67"/>
    </row>
    <row r="7" spans="1:14" ht="15.75">
      <c r="A7" s="45">
        <v>2</v>
      </c>
      <c r="B7" s="41" t="str">
        <f aca="true" t="shared" si="0" ref="B7:B14">$B$4&amp;" số "&amp;A7</f>
        <v>Tổ BC số 2</v>
      </c>
      <c r="C7" s="184">
        <v>1</v>
      </c>
      <c r="D7" s="42">
        <f ca="1">OFFSET('DL'!$D$6,MATCH(TenXa,'DL'!$B$7:$B$157,0)+TTinDV!A7-1,1)</f>
        <v>3</v>
      </c>
      <c r="E7" s="42">
        <f ca="1">OFFSET('DL'!$D$6,MATCH(TenXa,'DL'!$B$7:$B$157,0)+TTinDV!A7-1,2)</f>
        <v>5</v>
      </c>
      <c r="G7" s="54"/>
      <c r="H7" s="62">
        <v>2</v>
      </c>
      <c r="I7" s="96" t="s">
        <v>366</v>
      </c>
      <c r="J7" s="97" t="s">
        <v>363</v>
      </c>
      <c r="K7" s="56"/>
      <c r="L7" s="57">
        <v>2</v>
      </c>
      <c r="M7" s="64"/>
      <c r="N7" s="62"/>
    </row>
    <row r="8" spans="1:11" ht="15.75">
      <c r="A8" s="45">
        <v>3</v>
      </c>
      <c r="B8" s="41" t="str">
        <f t="shared" si="0"/>
        <v>Tổ BC số 3</v>
      </c>
      <c r="C8" s="184" t="str">
        <f ca="1">OFFSET('DL'!$D$6,MATCH(TenXa,'DL'!$B$7:$B$157,0)+TTinDV!A8-1,)</f>
        <v>Thôn Cợp</v>
      </c>
      <c r="D8" s="42">
        <f ca="1">OFFSET('DL'!$D$6,MATCH(TenXa,'DL'!$B$7:$B$157,0)+TTinDV!A8-1,1)</f>
        <v>3</v>
      </c>
      <c r="E8" s="42">
        <f ca="1">OFFSET('DL'!$D$6,MATCH(TenXa,'DL'!$B$7:$B$157,0)+TTinDV!A8-1,2)</f>
        <v>5</v>
      </c>
      <c r="G8" s="54"/>
      <c r="H8" s="39"/>
      <c r="I8" s="65"/>
      <c r="J8" s="39"/>
      <c r="K8" s="54"/>
    </row>
    <row r="9" spans="1:11" ht="15.75">
      <c r="A9" s="45">
        <v>4</v>
      </c>
      <c r="B9" s="41" t="str">
        <f t="shared" si="0"/>
        <v>Tổ BC số 4</v>
      </c>
      <c r="C9" s="184" t="str">
        <f ca="1">OFFSET('DL'!$D$6,MATCH(TenXa,'DL'!$B$7:$B$157,0)+TTinDV!A9-1,)</f>
        <v>Thôn Cò Nhối</v>
      </c>
      <c r="D9" s="42">
        <f ca="1">OFFSET('DL'!$D$6,MATCH(TenXa,'DL'!$B$7:$B$157,0)+TTinDV!A9-1,1)</f>
        <v>3</v>
      </c>
      <c r="E9" s="42">
        <f ca="1">OFFSET('DL'!$D$6,MATCH(TenXa,'DL'!$B$7:$B$157,0)+TTinDV!A9-1,2)</f>
        <v>5</v>
      </c>
      <c r="G9" s="54"/>
      <c r="H9" s="39"/>
      <c r="I9" s="65"/>
      <c r="J9" s="39"/>
      <c r="K9" s="54"/>
    </row>
    <row r="10" spans="1:11" ht="31.5">
      <c r="A10" s="45">
        <v>5</v>
      </c>
      <c r="B10" s="41" t="str">
        <f t="shared" si="0"/>
        <v>Tổ BC số 5</v>
      </c>
      <c r="C10" s="184" t="str">
        <f ca="1">OFFSET('DL'!$D$6,MATCH(TenXa,'DL'!$B$7:$B$157,0)+TTinDV!A10-1,)</f>
        <v>Thôn Xa Ry, Hướng Phú, Đồn Biên phòng sen bụt, Trường THPT Hướng Phùng, Hạt Quản lý đường bộ Hướng Phùng, Trạm y tế xã</v>
      </c>
      <c r="D10" s="42">
        <f ca="1">OFFSET('DL'!$D$6,MATCH(TenXa,'DL'!$B$7:$B$157,0)+TTinDV!A10-1,1)</f>
        <v>4</v>
      </c>
      <c r="E10" s="42">
        <f ca="1">OFFSET('DL'!$D$6,MATCH(TenXa,'DL'!$B$7:$B$157,0)+TTinDV!A10-1,2)</f>
        <v>7</v>
      </c>
      <c r="G10" s="54"/>
      <c r="H10" s="39"/>
      <c r="I10" s="65"/>
      <c r="J10" s="39"/>
      <c r="K10" s="54"/>
    </row>
    <row r="11" spans="1:11" ht="15.75">
      <c r="A11" s="45">
        <v>6</v>
      </c>
      <c r="B11" s="41" t="str">
        <f t="shared" si="0"/>
        <v>Tổ BC số 6</v>
      </c>
      <c r="C11" s="184" t="str">
        <f ca="1">OFFSET('DL'!$D$6,MATCH(TenXa,'DL'!$B$7:$B$157,0)+TTinDV!A11-1,)</f>
        <v>Thôn Chênh vênh, Trạm Kiểm soát A Ròong</v>
      </c>
      <c r="D11" s="42">
        <f ca="1">OFFSET('DL'!$D$6,MATCH(TenXa,'DL'!$B$7:$B$157,0)+TTinDV!A11-1,1)</f>
        <v>2</v>
      </c>
      <c r="E11" s="42">
        <f ca="1">OFFSET('DL'!$D$6,MATCH(TenXa,'DL'!$B$7:$B$157,0)+TTinDV!A11-1,2)</f>
        <v>3</v>
      </c>
      <c r="G11" s="54"/>
      <c r="H11" s="39"/>
      <c r="I11" s="65"/>
      <c r="J11" s="39"/>
      <c r="K11" s="54"/>
    </row>
    <row r="12" spans="1:11" ht="31.5">
      <c r="A12" s="45">
        <v>7</v>
      </c>
      <c r="B12" s="41" t="str">
        <f t="shared" si="0"/>
        <v>Tổ BC số 7</v>
      </c>
      <c r="C12" s="184" t="str">
        <f ca="1">OFFSET('DL'!$D$6,MATCH(TenXa,'DL'!$B$7:$B$157,0)+TTinDV!A12-1,)</f>
        <v>Thôn Doa Cũ, Bụt Việt, Trường PTDT BT THCS, Tiểu học, Mầm non Hướng Phùng</v>
      </c>
      <c r="D12" s="42">
        <f ca="1">OFFSET('DL'!$D$6,MATCH(TenXa,'DL'!$B$7:$B$157,0)+TTinDV!A12-1,1)</f>
        <v>4</v>
      </c>
      <c r="E12" s="42">
        <f ca="1">OFFSET('DL'!$D$6,MATCH(TenXa,'DL'!$B$7:$B$157,0)+TTinDV!A12-1,2)</f>
        <v>7</v>
      </c>
      <c r="G12" s="54"/>
      <c r="H12" s="39"/>
      <c r="I12" s="65"/>
      <c r="J12" s="39"/>
      <c r="K12" s="54"/>
    </row>
    <row r="13" spans="1:11" ht="15.75">
      <c r="A13" s="45">
        <v>8</v>
      </c>
      <c r="B13" s="41" t="str">
        <f t="shared" si="0"/>
        <v>Tổ BC số 8</v>
      </c>
      <c r="C13" s="184" t="str">
        <f ca="1">OFFSET('DL'!$D$6,MATCH(TenXa,'DL'!$B$7:$B$157,0)+TTinDV!A13-1,)</f>
        <v>Thôn Hướng Đại, Hướng Độ, Cheng, Trạm Kiểm soát Cheng</v>
      </c>
      <c r="D13" s="42">
        <f ca="1">OFFSET('DL'!$D$6,MATCH(TenXa,'DL'!$B$7:$B$157,0)+TTinDV!A13-1,1)</f>
        <v>3</v>
      </c>
      <c r="E13" s="42">
        <f ca="1">OFFSET('DL'!$D$6,MATCH(TenXa,'DL'!$B$7:$B$157,0)+TTinDV!A13-1,2)</f>
        <v>5</v>
      </c>
      <c r="G13" s="54"/>
      <c r="H13" s="39"/>
      <c r="I13" s="65"/>
      <c r="J13" s="39"/>
      <c r="K13" s="54"/>
    </row>
    <row r="14" spans="1:11" ht="15.75">
      <c r="A14" s="45">
        <v>9</v>
      </c>
      <c r="B14" s="41" t="str">
        <f t="shared" si="0"/>
        <v>Tổ BC số 9</v>
      </c>
      <c r="C14" s="184" t="str">
        <f ca="1">OFFSET('DL'!$D$6,MATCH(TenXa,'DL'!$B$7:$B$157,0)+TTinDV!A14-1,)</f>
        <v>Thôn Tân Pun, Ma Lai, Hướng Hải</v>
      </c>
      <c r="D14" s="42">
        <f ca="1">OFFSET('DL'!$D$6,MATCH(TenXa,'DL'!$B$7:$B$157,0)+TTinDV!A14-1,1)</f>
        <v>3</v>
      </c>
      <c r="E14" s="42">
        <f ca="1">OFFSET('DL'!$D$6,MATCH(TenXa,'DL'!$B$7:$B$157,0)+TTinDV!A14-1,2)</f>
        <v>5</v>
      </c>
      <c r="G14" s="54"/>
      <c r="H14" s="39"/>
      <c r="I14" s="65"/>
      <c r="J14" s="39"/>
      <c r="K14" s="54"/>
    </row>
    <row r="15" spans="1:11" ht="15.75">
      <c r="A15" s="45"/>
      <c r="B15" s="41"/>
      <c r="C15" s="184"/>
      <c r="G15" s="54"/>
      <c r="H15" s="39"/>
      <c r="I15" s="65"/>
      <c r="J15" s="39"/>
      <c r="K15" s="54"/>
    </row>
    <row r="16" spans="2:11" ht="15.75">
      <c r="B16" s="41"/>
      <c r="C16" s="185"/>
      <c r="G16" s="54"/>
      <c r="H16" s="39"/>
      <c r="I16" s="65"/>
      <c r="J16" s="39"/>
      <c r="K16" s="54"/>
    </row>
    <row r="17" spans="2:11" ht="15.75">
      <c r="B17" s="41"/>
      <c r="C17" s="185"/>
      <c r="G17" s="54"/>
      <c r="H17" s="39"/>
      <c r="I17" s="65"/>
      <c r="J17" s="39"/>
      <c r="K17" s="54"/>
    </row>
    <row r="18" spans="2:11" ht="15.75">
      <c r="B18" s="41"/>
      <c r="C18" s="185"/>
      <c r="G18" s="54"/>
      <c r="H18" s="39"/>
      <c r="I18" s="65"/>
      <c r="J18" s="39"/>
      <c r="K18" s="54"/>
    </row>
    <row r="19" spans="2:11" ht="15.75">
      <c r="B19" s="41"/>
      <c r="C19" s="185"/>
      <c r="G19" s="54"/>
      <c r="H19" s="39"/>
      <c r="I19" s="65"/>
      <c r="J19" s="39"/>
      <c r="K19" s="54"/>
    </row>
    <row r="20" spans="2:11" ht="15.75">
      <c r="B20" s="41"/>
      <c r="C20" s="185"/>
      <c r="G20" s="54"/>
      <c r="H20" s="39"/>
      <c r="I20" s="65"/>
      <c r="J20" s="39"/>
      <c r="K20" s="54"/>
    </row>
    <row r="21" spans="2:11" ht="15.75">
      <c r="B21" s="41"/>
      <c r="C21" s="185"/>
      <c r="G21" s="54"/>
      <c r="H21" s="39"/>
      <c r="I21" s="65"/>
      <c r="J21" s="39"/>
      <c r="K21" s="54"/>
    </row>
    <row r="22" spans="2:11" ht="15.75">
      <c r="B22" s="41"/>
      <c r="C22" s="185"/>
      <c r="G22" s="54"/>
      <c r="H22" s="39"/>
      <c r="I22" s="65"/>
      <c r="J22" s="39"/>
      <c r="K22" s="54"/>
    </row>
    <row r="23" spans="2:11" ht="15.75">
      <c r="B23" s="41"/>
      <c r="C23" s="185"/>
      <c r="G23" s="54"/>
      <c r="H23" s="39"/>
      <c r="I23" s="65"/>
      <c r="J23" s="39"/>
      <c r="K23" s="54"/>
    </row>
    <row r="24" spans="2:11" ht="15.75">
      <c r="B24" s="41"/>
      <c r="C24" s="185"/>
      <c r="G24" s="54"/>
      <c r="H24" s="39"/>
      <c r="I24" s="65"/>
      <c r="J24" s="39"/>
      <c r="K24" s="54"/>
    </row>
    <row r="25" spans="2:11" ht="15.75">
      <c r="B25" s="41"/>
      <c r="C25" s="185"/>
      <c r="G25" s="54"/>
      <c r="H25" s="39"/>
      <c r="I25" s="65"/>
      <c r="J25" s="39"/>
      <c r="K25" s="54"/>
    </row>
    <row r="26" spans="2:11" ht="15.75">
      <c r="B26" s="41"/>
      <c r="C26" s="185"/>
      <c r="G26" s="54"/>
      <c r="H26" s="39"/>
      <c r="I26" s="65"/>
      <c r="J26" s="39"/>
      <c r="K26" s="54"/>
    </row>
    <row r="27" spans="2:11" ht="15.75">
      <c r="B27" s="41"/>
      <c r="C27" s="185"/>
      <c r="G27" s="54"/>
      <c r="H27" s="39"/>
      <c r="I27" s="65"/>
      <c r="J27" s="39"/>
      <c r="K27" s="54"/>
    </row>
    <row r="28" spans="2:11" ht="15.75">
      <c r="B28" s="41"/>
      <c r="C28" s="185"/>
      <c r="G28" s="54"/>
      <c r="H28" s="39"/>
      <c r="I28" s="65"/>
      <c r="J28" s="39"/>
      <c r="K28" s="54"/>
    </row>
    <row r="29" spans="2:11" ht="15.75">
      <c r="B29" s="41"/>
      <c r="C29" s="185"/>
      <c r="G29" s="54"/>
      <c r="H29" s="39"/>
      <c r="I29" s="65"/>
      <c r="J29" s="39"/>
      <c r="K29" s="54"/>
    </row>
    <row r="30" spans="2:11" ht="15.75">
      <c r="B30" s="2"/>
      <c r="C30" s="186"/>
      <c r="D30" s="4"/>
      <c r="E30" s="4"/>
      <c r="F30" s="4"/>
      <c r="G30" s="54"/>
      <c r="H30" s="39"/>
      <c r="I30" s="65"/>
      <c r="J30" s="39"/>
      <c r="K30" s="54"/>
    </row>
    <row r="31" spans="2:11" ht="15.75">
      <c r="B31" s="2"/>
      <c r="C31" s="186"/>
      <c r="D31" s="4"/>
      <c r="E31" s="4"/>
      <c r="F31" s="4"/>
      <c r="G31" s="54"/>
      <c r="H31" s="39"/>
      <c r="I31" s="65"/>
      <c r="J31" s="39"/>
      <c r="K31" s="54"/>
    </row>
    <row r="32" spans="2:11" ht="15.75">
      <c r="B32" s="2"/>
      <c r="C32" s="186"/>
      <c r="D32" s="4"/>
      <c r="E32" s="4"/>
      <c r="F32" s="4"/>
      <c r="G32" s="54"/>
      <c r="H32" s="39"/>
      <c r="I32" s="65"/>
      <c r="J32" s="39"/>
      <c r="K32" s="54"/>
    </row>
    <row r="33" spans="2:11" ht="15.75">
      <c r="B33" s="2"/>
      <c r="C33" s="186"/>
      <c r="D33" s="4"/>
      <c r="E33" s="4"/>
      <c r="F33" s="4"/>
      <c r="G33" s="54"/>
      <c r="H33" s="39"/>
      <c r="I33" s="65"/>
      <c r="J33" s="39"/>
      <c r="K33" s="54"/>
    </row>
    <row r="34" spans="2:11" ht="15.75">
      <c r="B34" s="2"/>
      <c r="C34" s="186"/>
      <c r="D34" s="4"/>
      <c r="E34" s="4"/>
      <c r="F34" s="4"/>
      <c r="G34" s="54"/>
      <c r="H34" s="39"/>
      <c r="I34" s="65"/>
      <c r="J34" s="39"/>
      <c r="K34" s="54"/>
    </row>
    <row r="35" spans="2:11" ht="15.75">
      <c r="B35" s="2"/>
      <c r="C35" s="2"/>
      <c r="D35" s="4"/>
      <c r="E35" s="4"/>
      <c r="F35" s="4"/>
      <c r="G35" s="54"/>
      <c r="H35" s="39"/>
      <c r="I35" s="65"/>
      <c r="J35" s="39"/>
      <c r="K35" s="54"/>
    </row>
    <row r="36" spans="2:11" ht="15.75">
      <c r="B36" s="2"/>
      <c r="C36" s="2"/>
      <c r="D36" s="4"/>
      <c r="E36" s="4"/>
      <c r="F36" s="4"/>
      <c r="G36" s="54"/>
      <c r="H36" s="39"/>
      <c r="I36" s="65"/>
      <c r="J36" s="39"/>
      <c r="K36" s="54"/>
    </row>
    <row r="37" spans="2:11" ht="15.75">
      <c r="B37" s="2"/>
      <c r="C37" s="2"/>
      <c r="D37" s="4"/>
      <c r="E37" s="4"/>
      <c r="F37" s="4"/>
      <c r="G37" s="54"/>
      <c r="H37" s="39"/>
      <c r="I37" s="65"/>
      <c r="J37" s="39"/>
      <c r="K37" s="54"/>
    </row>
    <row r="38" spans="2:11" ht="15.75">
      <c r="B38" s="2"/>
      <c r="C38" s="2"/>
      <c r="D38" s="4"/>
      <c r="E38" s="4"/>
      <c r="F38" s="4"/>
      <c r="G38" s="54"/>
      <c r="H38" s="39"/>
      <c r="I38" s="65"/>
      <c r="J38" s="39"/>
      <c r="K38" s="54"/>
    </row>
    <row r="39" spans="2:11" ht="15.75">
      <c r="B39" s="2"/>
      <c r="C39" s="2"/>
      <c r="D39" s="4"/>
      <c r="E39" s="4"/>
      <c r="F39" s="4"/>
      <c r="G39" s="54"/>
      <c r="H39" s="39"/>
      <c r="I39" s="65"/>
      <c r="J39" s="39"/>
      <c r="K39" s="54"/>
    </row>
    <row r="40" spans="2:11" ht="15.75">
      <c r="B40" s="2"/>
      <c r="C40" s="2"/>
      <c r="D40" s="4"/>
      <c r="E40" s="4"/>
      <c r="F40" s="4"/>
      <c r="G40" s="54"/>
      <c r="H40" s="39"/>
      <c r="I40" s="65"/>
      <c r="J40" s="39"/>
      <c r="K40" s="54"/>
    </row>
    <row r="41" spans="2:11" ht="15.75">
      <c r="B41" s="2"/>
      <c r="C41" s="2"/>
      <c r="D41" s="4"/>
      <c r="E41" s="4"/>
      <c r="F41" s="4"/>
      <c r="G41" s="54"/>
      <c r="H41" s="39"/>
      <c r="I41" s="65"/>
      <c r="J41" s="39"/>
      <c r="K41" s="54"/>
    </row>
    <row r="42" spans="2:11" ht="15.75">
      <c r="B42" s="2"/>
      <c r="C42" s="2"/>
      <c r="D42" s="4"/>
      <c r="E42" s="4"/>
      <c r="F42" s="4"/>
      <c r="G42" s="54"/>
      <c r="H42" s="39"/>
      <c r="I42" s="65"/>
      <c r="J42" s="39"/>
      <c r="K42" s="54"/>
    </row>
    <row r="43" spans="2:11" ht="15.75">
      <c r="B43" s="2"/>
      <c r="C43" s="2"/>
      <c r="D43" s="4"/>
      <c r="E43" s="4"/>
      <c r="F43" s="4"/>
      <c r="G43" s="54"/>
      <c r="H43" s="39"/>
      <c r="I43" s="65"/>
      <c r="J43" s="39"/>
      <c r="K43" s="54"/>
    </row>
    <row r="44" spans="2:11" ht="15.75">
      <c r="B44" s="2"/>
      <c r="C44" s="2"/>
      <c r="D44" s="4"/>
      <c r="E44" s="4"/>
      <c r="F44" s="4"/>
      <c r="G44" s="54"/>
      <c r="H44" s="39"/>
      <c r="I44" s="65"/>
      <c r="J44" s="39"/>
      <c r="K44" s="54"/>
    </row>
    <row r="45" spans="2:11" ht="15.75">
      <c r="B45" s="2"/>
      <c r="C45" s="2"/>
      <c r="D45" s="4"/>
      <c r="E45" s="4"/>
      <c r="F45" s="4"/>
      <c r="G45" s="54"/>
      <c r="H45" s="39"/>
      <c r="I45" s="65"/>
      <c r="J45" s="39"/>
      <c r="K45" s="54"/>
    </row>
    <row r="46" spans="2:11" ht="15.75">
      <c r="B46" s="2"/>
      <c r="C46" s="2"/>
      <c r="D46" s="4"/>
      <c r="E46" s="4"/>
      <c r="F46" s="4"/>
      <c r="G46" s="54"/>
      <c r="H46" s="39"/>
      <c r="I46" s="65"/>
      <c r="J46" s="39"/>
      <c r="K46" s="54"/>
    </row>
    <row r="47" spans="2:11" ht="15.75">
      <c r="B47" s="2"/>
      <c r="C47" s="2"/>
      <c r="D47" s="4"/>
      <c r="E47" s="4"/>
      <c r="F47" s="4"/>
      <c r="G47" s="54"/>
      <c r="H47" s="39"/>
      <c r="I47" s="65"/>
      <c r="J47" s="39"/>
      <c r="K47" s="54"/>
    </row>
    <row r="48" spans="2:11" ht="15.75">
      <c r="B48" s="2"/>
      <c r="C48" s="2"/>
      <c r="D48" s="4"/>
      <c r="E48" s="4"/>
      <c r="F48" s="4"/>
      <c r="G48" s="54"/>
      <c r="H48" s="39"/>
      <c r="I48" s="65"/>
      <c r="J48" s="39"/>
      <c r="K48" s="54"/>
    </row>
    <row r="49" spans="2:11" ht="15.75">
      <c r="B49" s="2"/>
      <c r="C49" s="2"/>
      <c r="D49" s="4"/>
      <c r="E49" s="4"/>
      <c r="F49" s="4"/>
      <c r="G49" s="54"/>
      <c r="H49" s="39"/>
      <c r="I49" s="65"/>
      <c r="J49" s="39"/>
      <c r="K49" s="54"/>
    </row>
    <row r="50" spans="2:11" ht="15.75">
      <c r="B50" s="2"/>
      <c r="C50" s="2"/>
      <c r="D50" s="4"/>
      <c r="E50" s="4"/>
      <c r="F50" s="4"/>
      <c r="G50" s="54"/>
      <c r="H50" s="39"/>
      <c r="I50" s="65"/>
      <c r="J50" s="39"/>
      <c r="K50" s="54"/>
    </row>
  </sheetData>
  <sheetProtection/>
  <mergeCells count="4">
    <mergeCell ref="A2:F2"/>
    <mergeCell ref="A3:F3"/>
    <mergeCell ref="H2:J3"/>
    <mergeCell ref="L2:N3"/>
  </mergeCells>
  <conditionalFormatting sqref="A6:F26">
    <cfRule type="expression" priority="4" dxfId="18" stopIfTrue="1">
      <formula>A6&lt;&gt;""</formula>
    </cfRule>
  </conditionalFormatting>
  <conditionalFormatting sqref="A3:F3">
    <cfRule type="expression" priority="3" dxfId="16" stopIfTrue="1">
      <formula>$A$3&lt;&gt;""</formula>
    </cfRule>
  </conditionalFormatting>
  <conditionalFormatting sqref="H6:J50">
    <cfRule type="expression" priority="2" dxfId="19" stopIfTrue="1">
      <formula>H6&lt;&gt;""</formula>
    </cfRule>
  </conditionalFormatting>
  <conditionalFormatting sqref="L6:N7">
    <cfRule type="expression" priority="1" dxfId="20" stopIfTrue="1">
      <formula>L6&lt;&gt;""</formula>
    </cfRule>
  </conditionalFormatting>
  <dataValidations count="1">
    <dataValidation allowBlank="1" showInputMessage="1" showErrorMessage="1" prompt="Nhập tên địa bàn hành chính vào ô này" sqref="A3:F3"/>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BD70"/>
  <sheetViews>
    <sheetView showGridLines="0" zoomScale="70" zoomScaleNormal="70"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B8" sqref="B8:B9"/>
    </sheetView>
  </sheetViews>
  <sheetFormatPr defaultColWidth="9.00390625" defaultRowHeight="15.75" zeroHeight="1"/>
  <cols>
    <col min="1" max="1" width="6.00390625" style="0" customWidth="1"/>
    <col min="2" max="2" width="26.875" style="0" customWidth="1"/>
    <col min="3" max="3" width="5.625" style="0" customWidth="1"/>
    <col min="4" max="4" width="11.375" style="39" customWidth="1"/>
    <col min="5" max="5" width="7.625" style="39" hidden="1" customWidth="1"/>
    <col min="6" max="6" width="6.50390625" style="39" hidden="1" customWidth="1"/>
    <col min="7" max="12" width="9.00390625" style="39" hidden="1" customWidth="1"/>
    <col min="13" max="13" width="13.375" style="219" hidden="1" customWidth="1"/>
    <col min="14" max="21" width="9.00390625" style="39" hidden="1" customWidth="1"/>
    <col min="22" max="22" width="13.625" style="39" hidden="1" customWidth="1"/>
    <col min="23" max="23" width="9.00390625" style="0" hidden="1" customWidth="1"/>
    <col min="27" max="27" width="9.375" style="0" hidden="1" customWidth="1"/>
    <col min="29" max="29" width="2.75390625" style="0" customWidth="1"/>
  </cols>
  <sheetData>
    <row r="1" spans="1:32" s="40" customFormat="1" ht="40.5" customHeight="1">
      <c r="A1" s="147"/>
      <c r="B1" s="147"/>
      <c r="C1" s="147"/>
      <c r="D1" s="215"/>
      <c r="E1" s="215"/>
      <c r="F1" s="215"/>
      <c r="G1" s="215"/>
      <c r="H1" s="215"/>
      <c r="I1" s="215"/>
      <c r="J1" s="215"/>
      <c r="K1" s="215"/>
      <c r="L1" s="215"/>
      <c r="M1" s="216"/>
      <c r="N1" s="215"/>
      <c r="O1" s="215"/>
      <c r="P1" s="215"/>
      <c r="Q1" s="215"/>
      <c r="R1" s="215"/>
      <c r="S1" s="215"/>
      <c r="T1" s="215"/>
      <c r="U1" s="215"/>
      <c r="V1" s="215"/>
      <c r="W1" s="147"/>
      <c r="X1" s="147"/>
      <c r="Y1" s="147"/>
      <c r="Z1" s="147"/>
      <c r="AA1" s="147"/>
      <c r="AB1" s="147"/>
      <c r="AF1" s="40">
        <v>25</v>
      </c>
    </row>
    <row r="2" spans="1:32" s="40" customFormat="1" ht="90.75" customHeight="1">
      <c r="A2" s="79" t="s">
        <v>221</v>
      </c>
      <c r="B2" s="80" t="str">
        <f>"Họ tên UCV HĐND                         "&amp;UPPER(TenXa)</f>
        <v>Họ tên UCV HĐND                         XÃ HƯỚNG PHÙNG</v>
      </c>
      <c r="C2" s="80" t="s">
        <v>229</v>
      </c>
      <c r="D2" s="80" t="s">
        <v>230</v>
      </c>
      <c r="E2" s="188" t="s">
        <v>432</v>
      </c>
      <c r="F2" s="80" t="s">
        <v>231</v>
      </c>
      <c r="G2" s="80" t="s">
        <v>232</v>
      </c>
      <c r="H2" s="80" t="s">
        <v>233</v>
      </c>
      <c r="I2" s="80" t="s">
        <v>234</v>
      </c>
      <c r="J2" s="80" t="s">
        <v>235</v>
      </c>
      <c r="K2" s="80" t="s">
        <v>236</v>
      </c>
      <c r="L2" s="80" t="s">
        <v>237</v>
      </c>
      <c r="M2" s="188" t="s">
        <v>433</v>
      </c>
      <c r="N2" s="80" t="s">
        <v>238</v>
      </c>
      <c r="O2" s="80" t="s">
        <v>239</v>
      </c>
      <c r="P2" s="80" t="s">
        <v>240</v>
      </c>
      <c r="Q2" s="188" t="s">
        <v>435</v>
      </c>
      <c r="R2" s="80" t="s">
        <v>241</v>
      </c>
      <c r="S2" s="80" t="s">
        <v>242</v>
      </c>
      <c r="T2" s="80" t="s">
        <v>243</v>
      </c>
      <c r="U2" s="81" t="s">
        <v>244</v>
      </c>
      <c r="V2" s="80" t="s">
        <v>245</v>
      </c>
      <c r="W2" s="82"/>
      <c r="X2" s="83" t="s">
        <v>297</v>
      </c>
      <c r="Y2" s="83" t="s">
        <v>246</v>
      </c>
      <c r="Z2" s="83" t="s">
        <v>247</v>
      </c>
      <c r="AA2" s="79" t="s">
        <v>248</v>
      </c>
      <c r="AB2" s="84" t="s">
        <v>249</v>
      </c>
      <c r="AF2" s="40" t="s">
        <v>361</v>
      </c>
    </row>
    <row r="3" spans="1:56" s="40" customFormat="1" ht="12" customHeight="1">
      <c r="A3" s="86">
        <v>1</v>
      </c>
      <c r="B3" s="87" t="s">
        <v>250</v>
      </c>
      <c r="C3" s="87" t="s">
        <v>430</v>
      </c>
      <c r="D3" s="87">
        <v>4</v>
      </c>
      <c r="E3" s="87" t="s">
        <v>431</v>
      </c>
      <c r="F3" s="87">
        <v>5</v>
      </c>
      <c r="G3" s="87">
        <v>6</v>
      </c>
      <c r="H3" s="87">
        <v>7</v>
      </c>
      <c r="I3" s="87">
        <v>8</v>
      </c>
      <c r="J3" s="87">
        <v>9</v>
      </c>
      <c r="K3" s="87">
        <v>10</v>
      </c>
      <c r="L3" s="87">
        <v>11</v>
      </c>
      <c r="M3" s="190" t="s">
        <v>434</v>
      </c>
      <c r="N3" s="87">
        <v>12</v>
      </c>
      <c r="O3" s="87">
        <v>13</v>
      </c>
      <c r="P3" s="87">
        <v>14</v>
      </c>
      <c r="Q3" s="87" t="s">
        <v>436</v>
      </c>
      <c r="R3" s="87">
        <v>15</v>
      </c>
      <c r="S3" s="87">
        <v>16</v>
      </c>
      <c r="T3" s="87">
        <v>17</v>
      </c>
      <c r="U3" s="87">
        <v>18</v>
      </c>
      <c r="V3" s="87">
        <v>19</v>
      </c>
      <c r="W3" s="87">
        <v>20</v>
      </c>
      <c r="X3" s="87">
        <v>21</v>
      </c>
      <c r="Y3" s="87">
        <v>22</v>
      </c>
      <c r="Z3" s="87">
        <v>23</v>
      </c>
      <c r="AA3" s="87">
        <v>24</v>
      </c>
      <c r="AB3" s="87">
        <v>25</v>
      </c>
      <c r="AC3" s="88"/>
      <c r="BC3" s="40">
        <v>3</v>
      </c>
      <c r="BD3" s="45"/>
    </row>
    <row r="4" spans="1:56" ht="15.75">
      <c r="A4" s="69">
        <f>IF(OR(ROW()&gt;BC4,B4=""),"",COUNTIF($C$3:C4,C4))</f>
        <v>1</v>
      </c>
      <c r="B4" s="146" t="s">
        <v>251</v>
      </c>
      <c r="C4" s="70">
        <v>1</v>
      </c>
      <c r="D4" s="71"/>
      <c r="E4" s="189">
        <f ca="1">IF(D4="",0,DATEDIF(D4,NOW(),"y"))</f>
        <v>0</v>
      </c>
      <c r="F4" s="85"/>
      <c r="G4" s="73"/>
      <c r="H4" s="73"/>
      <c r="I4" s="73"/>
      <c r="J4" s="73"/>
      <c r="K4" s="73"/>
      <c r="L4" s="73"/>
      <c r="M4" s="217" t="s">
        <v>501</v>
      </c>
      <c r="N4" s="73"/>
      <c r="O4" s="73"/>
      <c r="P4" s="73"/>
      <c r="Q4" s="73"/>
      <c r="R4" s="73"/>
      <c r="S4" s="73"/>
      <c r="T4" s="73"/>
      <c r="U4" s="73" t="s">
        <v>252</v>
      </c>
      <c r="V4" s="73" t="s">
        <v>429</v>
      </c>
      <c r="W4" s="74"/>
      <c r="X4" s="75">
        <f ca="1">IF(ROW()&gt;TS_UCV+3,"",OFFSET(MauTH!$A$11,C4,16))</f>
        <v>0</v>
      </c>
      <c r="Y4" s="192">
        <f ca="1">IF(ROW()&gt;TS_UCV+3,"",OFFSET(MauTH!$A$11,C4,19+COUNTIF($C$4:C4,C4))+DATEDIF(D4,NOW(),"D")/10^8)</f>
        <v>0.00042496</v>
      </c>
      <c r="Z4" s="76" t="e">
        <f>IF(X4="","",Y4/X4)</f>
        <v>#DIV/0!</v>
      </c>
      <c r="AA4" s="77" t="e">
        <f aca="true" ca="1" t="shared" si="0" ref="AA4:AA35">IF(ROW()&gt;TS_UCV+3,"",IF(Z4&gt;0.5,RANK(Y4,INDIRECT("$y$"&amp;BB4&amp;":$y$"&amp;BC4),),""))</f>
        <v>#DIV/0!</v>
      </c>
      <c r="AB4" s="78" t="e">
        <f ca="1">IF(ROW()&gt;TS_UCV+3,"",IF(MAX(INDIRECT("$AA$"&amp;BB4&amp;":$AA$"&amp;BC4))&lt;VLOOKUP(C4,TTinDV!$A$6:$D$14,4),"Thiếu",AA4))</f>
        <v>#DIV/0!</v>
      </c>
      <c r="BB4" s="1">
        <f>IF(C4=C3,BB3,BC3+1)</f>
        <v>4</v>
      </c>
      <c r="BC4">
        <f ca="1">OFFSET(TTinDV!$E$4,MATCH(DSUCV!C4,TTinDV!$A$5:$A$60,),)+BB4-1</f>
        <v>6</v>
      </c>
      <c r="BD4" s="187"/>
    </row>
    <row r="5" spans="1:55" ht="15.75">
      <c r="A5" s="69">
        <f>IF(OR(ROW()&gt;BC5,B5=""),"",COUNTIF($C$3:C5,C5))</f>
        <v>2</v>
      </c>
      <c r="B5" s="146" t="s">
        <v>253</v>
      </c>
      <c r="C5" s="70">
        <v>1</v>
      </c>
      <c r="D5" s="71"/>
      <c r="E5" s="189">
        <f aca="true" ca="1" t="shared" si="1" ref="E5:E68">IF(D5="",0,DATEDIF(D5,NOW(),"y"))</f>
        <v>0</v>
      </c>
      <c r="F5" s="73"/>
      <c r="G5" s="73"/>
      <c r="H5" s="73"/>
      <c r="I5" s="73"/>
      <c r="J5" s="73"/>
      <c r="K5" s="73"/>
      <c r="L5" s="73"/>
      <c r="M5" s="217"/>
      <c r="N5" s="73"/>
      <c r="O5" s="73"/>
      <c r="P5" s="73"/>
      <c r="Q5" s="73"/>
      <c r="R5" s="73"/>
      <c r="S5" s="73"/>
      <c r="T5" s="73"/>
      <c r="U5" s="73"/>
      <c r="V5" s="73"/>
      <c r="W5" s="72"/>
      <c r="X5" s="75">
        <f ca="1">IF(ROW()&gt;TS_UCV+3,"",OFFSET(MauTH!$A$11,C5,16))</f>
        <v>0</v>
      </c>
      <c r="Y5" s="192">
        <f ca="1">IF(ROW()&gt;TS_UCV+3,"",OFFSET(MauTH!$A$11,C5,19+COUNTIF($C$4:C5,C5))+DATEDIF(D5,NOW(),"D")/10^8)</f>
        <v>0.00042496</v>
      </c>
      <c r="Z5" s="76" t="e">
        <f aca="true" t="shared" si="2" ref="Z5:Z61">IF(X5="","",Y5/X5)</f>
        <v>#DIV/0!</v>
      </c>
      <c r="AA5" s="77" t="e">
        <f ca="1" t="shared" si="0"/>
        <v>#DIV/0!</v>
      </c>
      <c r="AB5" s="78" t="e">
        <f ca="1">IF(ROW()&gt;TS_UCV+3,"",IF(MAX(INDIRECT("$AA$"&amp;BB5&amp;":$AA$"&amp;BC5))&lt;VLOOKUP(C5,TTinDV!$A$6:$D$14,4),"Thiếu",AA5))</f>
        <v>#DIV/0!</v>
      </c>
      <c r="BB5" s="1">
        <f>IF(C5=C4,BB4,BC4+1)</f>
        <v>4</v>
      </c>
      <c r="BC5">
        <f ca="1">OFFSET(TTinDV!$E$4,MATCH(DSUCV!C5,TTinDV!$A$5:$A$60,),)+BB5-1</f>
        <v>6</v>
      </c>
    </row>
    <row r="6" spans="1:55" ht="15.75">
      <c r="A6" s="69">
        <f>IF(OR(ROW()&gt;BC6,B6=""),"",COUNTIF($C$3:C6,C6))</f>
        <v>3</v>
      </c>
      <c r="B6" s="146" t="s">
        <v>254</v>
      </c>
      <c r="C6" s="70">
        <v>1</v>
      </c>
      <c r="D6" s="71"/>
      <c r="E6" s="189">
        <f ca="1" t="shared" si="1"/>
        <v>0</v>
      </c>
      <c r="F6" s="73"/>
      <c r="G6" s="73"/>
      <c r="H6" s="73"/>
      <c r="I6" s="73"/>
      <c r="J6" s="73"/>
      <c r="K6" s="73"/>
      <c r="L6" s="73"/>
      <c r="M6" s="217"/>
      <c r="N6" s="73"/>
      <c r="O6" s="73"/>
      <c r="P6" s="73"/>
      <c r="Q6" s="73"/>
      <c r="R6" s="73"/>
      <c r="S6" s="73"/>
      <c r="T6" s="73"/>
      <c r="U6" s="73"/>
      <c r="V6" s="73"/>
      <c r="W6" s="72"/>
      <c r="X6" s="75">
        <f ca="1">IF(ROW()&gt;TS_UCV+3,"",OFFSET(MauTH!$A$11,C6,16))</f>
        <v>0</v>
      </c>
      <c r="Y6" s="192">
        <f ca="1">IF(ROW()&gt;TS_UCV+3,"",OFFSET(MauTH!$A$11,C6,19+COUNTIF($C$4:C6,C6))+DATEDIF(D6,NOW(),"D")/10^8)</f>
        <v>0.00042496</v>
      </c>
      <c r="Z6" s="76" t="e">
        <f t="shared" si="2"/>
        <v>#DIV/0!</v>
      </c>
      <c r="AA6" s="77" t="e">
        <f ca="1" t="shared" si="0"/>
        <v>#DIV/0!</v>
      </c>
      <c r="AB6" s="78" t="e">
        <f ca="1">IF(ROW()&gt;TS_UCV+3,"",IF(MAX(INDIRECT("$AA$"&amp;BB6&amp;":$AA$"&amp;BC6))&lt;VLOOKUP(C6,TTinDV!$A$6:$D$14,4),"Thiếu",AA6))</f>
        <v>#DIV/0!</v>
      </c>
      <c r="BB6" s="1">
        <f>IF(C6=C5,BB5,BC5+1)</f>
        <v>4</v>
      </c>
      <c r="BC6">
        <f ca="1">OFFSET(TTinDV!$E$4,MATCH(DSUCV!C6,TTinDV!$A$5:$A$60,),)+BB6-1</f>
        <v>6</v>
      </c>
    </row>
    <row r="7" spans="1:55" ht="15.75">
      <c r="A7" s="69">
        <f>IF(OR(ROW()&gt;BC7,B7=""),"",COUNTIF($C$3:C7,C7))</f>
        <v>1</v>
      </c>
      <c r="B7" s="146" t="s">
        <v>255</v>
      </c>
      <c r="C7" s="70">
        <v>2</v>
      </c>
      <c r="D7" s="71"/>
      <c r="E7" s="189">
        <f ca="1" t="shared" si="1"/>
        <v>0</v>
      </c>
      <c r="F7" s="73"/>
      <c r="G7" s="73"/>
      <c r="H7" s="73"/>
      <c r="I7" s="73"/>
      <c r="J7" s="73"/>
      <c r="K7" s="73"/>
      <c r="L7" s="73"/>
      <c r="M7" s="217"/>
      <c r="N7" s="73"/>
      <c r="O7" s="73"/>
      <c r="P7" s="73"/>
      <c r="Q7" s="73"/>
      <c r="R7" s="73"/>
      <c r="S7" s="73"/>
      <c r="T7" s="73"/>
      <c r="U7" s="73"/>
      <c r="V7" s="73"/>
      <c r="W7" s="72"/>
      <c r="X7" s="75">
        <f ca="1">IF(ROW()&gt;TS_UCV+3,"",OFFSET(MauTH!$A$11,C7,16))</f>
        <v>0</v>
      </c>
      <c r="Y7" s="192">
        <f ca="1">IF(ROW()&gt;TS_UCV+3,"",OFFSET(MauTH!$A$11,C7,19+COUNTIF($C$4:C7,C7))+DATEDIF(D7,NOW(),"D")/10^8)</f>
        <v>0.00042496</v>
      </c>
      <c r="Z7" s="76" t="e">
        <f t="shared" si="2"/>
        <v>#DIV/0!</v>
      </c>
      <c r="AA7" s="77" t="e">
        <f ca="1" t="shared" si="0"/>
        <v>#DIV/0!</v>
      </c>
      <c r="AB7" s="78" t="e">
        <f ca="1">IF(ROW()&gt;TS_UCV+3,"",IF(MAX(INDIRECT("$AA$"&amp;BB7&amp;":$AA$"&amp;BC7))&lt;VLOOKUP(C7,TTinDV!$A$6:$D$14,4),"Thiếu",AA7))</f>
        <v>#DIV/0!</v>
      </c>
      <c r="BB7" s="1">
        <f aca="true" t="shared" si="3" ref="BB7:BB61">IF(C7=C6,BB6,BC6+1)</f>
        <v>7</v>
      </c>
      <c r="BC7">
        <f ca="1">OFFSET(TTinDV!$E$4,MATCH(DSUCV!C7,TTinDV!$A$5:$A$60,),)+BB7-1</f>
        <v>11</v>
      </c>
    </row>
    <row r="8" spans="1:55" ht="15.75">
      <c r="A8" s="69">
        <f>IF(OR(ROW()&gt;BC8,B8=""),"",COUNTIF($C$3:C8,C8))</f>
        <v>2</v>
      </c>
      <c r="B8" s="146" t="s">
        <v>256</v>
      </c>
      <c r="C8" s="70">
        <v>2</v>
      </c>
      <c r="D8" s="71"/>
      <c r="E8" s="189">
        <f ca="1" t="shared" si="1"/>
        <v>0</v>
      </c>
      <c r="F8" s="73"/>
      <c r="G8" s="73"/>
      <c r="H8" s="73"/>
      <c r="I8" s="73"/>
      <c r="J8" s="73"/>
      <c r="K8" s="73"/>
      <c r="L8" s="73"/>
      <c r="M8" s="217"/>
      <c r="N8" s="73"/>
      <c r="O8" s="73"/>
      <c r="P8" s="73"/>
      <c r="Q8" s="73"/>
      <c r="R8" s="73"/>
      <c r="S8" s="73"/>
      <c r="T8" s="73"/>
      <c r="U8" s="73"/>
      <c r="V8" s="73"/>
      <c r="W8" s="72"/>
      <c r="X8" s="75">
        <f ca="1">IF(ROW()&gt;TS_UCV+3,"",OFFSET(MauTH!$A$11,C8,16))</f>
        <v>0</v>
      </c>
      <c r="Y8" s="192">
        <f ca="1">IF(ROW()&gt;TS_UCV+3,"",OFFSET(MauTH!$A$11,C8,19+COUNTIF($C$4:C8,C8))+DATEDIF(D8,NOW(),"D")/10^8)</f>
        <v>0.00042496</v>
      </c>
      <c r="Z8" s="76" t="e">
        <f t="shared" si="2"/>
        <v>#DIV/0!</v>
      </c>
      <c r="AA8" s="77" t="e">
        <f ca="1" t="shared" si="0"/>
        <v>#DIV/0!</v>
      </c>
      <c r="AB8" s="78" t="e">
        <f ca="1">IF(ROW()&gt;TS_UCV+3,"",IF(MAX(INDIRECT("$AA$"&amp;BB8&amp;":$AA$"&amp;BC8))&lt;VLOOKUP(C8,TTinDV!$A$6:$D$14,4),"Thiếu",AA8))</f>
        <v>#DIV/0!</v>
      </c>
      <c r="BB8" s="1">
        <f t="shared" si="3"/>
        <v>7</v>
      </c>
      <c r="BC8">
        <f ca="1">OFFSET(TTinDV!$E$4,MATCH(DSUCV!C8,TTinDV!$A$5:$A$60,),)+BB8-1</f>
        <v>11</v>
      </c>
    </row>
    <row r="9" spans="1:55" ht="15.75">
      <c r="A9" s="69">
        <f>IF(OR(ROW()&gt;BC9,B9=""),"",COUNTIF($C$3:C9,C9))</f>
        <v>3</v>
      </c>
      <c r="B9" s="146" t="s">
        <v>257</v>
      </c>
      <c r="C9" s="70">
        <v>2</v>
      </c>
      <c r="D9" s="71"/>
      <c r="E9" s="189">
        <f ca="1" t="shared" si="1"/>
        <v>0</v>
      </c>
      <c r="F9" s="73"/>
      <c r="G9" s="73"/>
      <c r="H9" s="73"/>
      <c r="I9" s="73"/>
      <c r="J9" s="73"/>
      <c r="K9" s="73"/>
      <c r="L9" s="73"/>
      <c r="M9" s="217"/>
      <c r="N9" s="73"/>
      <c r="O9" s="73"/>
      <c r="P9" s="73"/>
      <c r="Q9" s="73"/>
      <c r="R9" s="73"/>
      <c r="S9" s="73"/>
      <c r="T9" s="73"/>
      <c r="U9" s="73"/>
      <c r="V9" s="73"/>
      <c r="W9" s="72"/>
      <c r="X9" s="75">
        <f ca="1">IF(ROW()&gt;TS_UCV+3,"",OFFSET(MauTH!$A$11,C9,16))</f>
        <v>0</v>
      </c>
      <c r="Y9" s="192">
        <f ca="1">IF(ROW()&gt;TS_UCV+3,"",OFFSET(MauTH!$A$11,C9,19+COUNTIF($C$4:C9,C9))+DATEDIF(D9,NOW(),"D")/10^8)</f>
        <v>0.00042496</v>
      </c>
      <c r="Z9" s="76" t="e">
        <f t="shared" si="2"/>
        <v>#DIV/0!</v>
      </c>
      <c r="AA9" s="77" t="e">
        <f ca="1" t="shared" si="0"/>
        <v>#DIV/0!</v>
      </c>
      <c r="AB9" s="78" t="e">
        <f ca="1">IF(ROW()&gt;TS_UCV+3,"",IF(MAX(INDIRECT("$AA$"&amp;BB9&amp;":$AA$"&amp;BC9))&lt;VLOOKUP(C9,TTinDV!$A$6:$D$14,4),"Thiếu",AA9))</f>
        <v>#DIV/0!</v>
      </c>
      <c r="BB9" s="1">
        <f t="shared" si="3"/>
        <v>7</v>
      </c>
      <c r="BC9">
        <f ca="1">OFFSET(TTinDV!$E$4,MATCH(DSUCV!C9,TTinDV!$A$5:$A$60,),)+BB9-1</f>
        <v>11</v>
      </c>
    </row>
    <row r="10" spans="1:55" ht="15.75">
      <c r="A10" s="69">
        <f>IF(OR(ROW()&gt;BC10,B10=""),"",COUNTIF($C$3:C10,C10))</f>
        <v>4</v>
      </c>
      <c r="B10" s="146" t="s">
        <v>258</v>
      </c>
      <c r="C10" s="70">
        <v>2</v>
      </c>
      <c r="D10" s="73"/>
      <c r="E10" s="189">
        <f ca="1" t="shared" si="1"/>
        <v>0</v>
      </c>
      <c r="F10" s="73"/>
      <c r="G10" s="73"/>
      <c r="H10" s="73"/>
      <c r="I10" s="73"/>
      <c r="J10" s="73"/>
      <c r="K10" s="73"/>
      <c r="L10" s="73"/>
      <c r="M10" s="217"/>
      <c r="N10" s="73"/>
      <c r="O10" s="73"/>
      <c r="P10" s="73"/>
      <c r="Q10" s="73"/>
      <c r="R10" s="73"/>
      <c r="S10" s="73"/>
      <c r="T10" s="73"/>
      <c r="U10" s="73"/>
      <c r="V10" s="73"/>
      <c r="W10" s="72"/>
      <c r="X10" s="75">
        <f ca="1">IF(ROW()&gt;TS_UCV+3,"",OFFSET(MauTH!$A$11,C10,16))</f>
        <v>0</v>
      </c>
      <c r="Y10" s="192">
        <f ca="1">IF(ROW()&gt;TS_UCV+3,"",OFFSET(MauTH!$A$11,C10,19+COUNTIF($C$4:C10,C10))+DATEDIF(D10,NOW(),"D")/10^8)</f>
        <v>0.00042496</v>
      </c>
      <c r="Z10" s="76" t="e">
        <f t="shared" si="2"/>
        <v>#DIV/0!</v>
      </c>
      <c r="AA10" s="77" t="e">
        <f ca="1" t="shared" si="0"/>
        <v>#DIV/0!</v>
      </c>
      <c r="AB10" s="78" t="e">
        <f ca="1">IF(ROW()&gt;TS_UCV+3,"",IF(MAX(INDIRECT("$AA$"&amp;BB10&amp;":$AA$"&amp;BC10))&lt;VLOOKUP(C10,TTinDV!$A$6:$D$14,4),"Thiếu",AA10))</f>
        <v>#DIV/0!</v>
      </c>
      <c r="BB10" s="1">
        <f t="shared" si="3"/>
        <v>7</v>
      </c>
      <c r="BC10">
        <f ca="1">OFFSET(TTinDV!$E$4,MATCH(DSUCV!C10,TTinDV!$A$5:$A$60,),)+BB10-1</f>
        <v>11</v>
      </c>
    </row>
    <row r="11" spans="1:55" ht="15.75">
      <c r="A11" s="69">
        <f>IF(OR(ROW()&gt;BC11,B11=""),"",COUNTIF($C$3:C11,C11))</f>
        <v>5</v>
      </c>
      <c r="B11" s="146" t="s">
        <v>259</v>
      </c>
      <c r="C11" s="70">
        <v>2</v>
      </c>
      <c r="D11" s="73"/>
      <c r="E11" s="189">
        <f ca="1" t="shared" si="1"/>
        <v>0</v>
      </c>
      <c r="F11" s="73"/>
      <c r="G11" s="73"/>
      <c r="H11" s="73"/>
      <c r="I11" s="73"/>
      <c r="J11" s="73"/>
      <c r="K11" s="73"/>
      <c r="L11" s="73"/>
      <c r="M11" s="217"/>
      <c r="N11" s="73"/>
      <c r="O11" s="73"/>
      <c r="P11" s="73"/>
      <c r="Q11" s="73"/>
      <c r="R11" s="73"/>
      <c r="S11" s="73"/>
      <c r="T11" s="73"/>
      <c r="U11" s="73"/>
      <c r="V11" s="73"/>
      <c r="W11" s="72"/>
      <c r="X11" s="75">
        <f ca="1">IF(ROW()&gt;TS_UCV+3,"",OFFSET(MauTH!$A$11,C11,16))</f>
        <v>0</v>
      </c>
      <c r="Y11" s="192">
        <f ca="1">IF(ROW()&gt;TS_UCV+3,"",OFFSET(MauTH!$A$11,C11,19+COUNTIF($C$4:C11,C11))+DATEDIF(D11,NOW(),"D")/10^8)</f>
        <v>0.00042496</v>
      </c>
      <c r="Z11" s="76" t="e">
        <f t="shared" si="2"/>
        <v>#DIV/0!</v>
      </c>
      <c r="AA11" s="77" t="e">
        <f ca="1" t="shared" si="0"/>
        <v>#DIV/0!</v>
      </c>
      <c r="AB11" s="78" t="e">
        <f ca="1">IF(ROW()&gt;TS_UCV+3,"",IF(MAX(INDIRECT("$AA$"&amp;BB11&amp;":$AA$"&amp;BC11))&lt;VLOOKUP(C11,TTinDV!$A$6:$D$14,4),"Thiếu",AA11))</f>
        <v>#DIV/0!</v>
      </c>
      <c r="BB11" s="1">
        <f t="shared" si="3"/>
        <v>7</v>
      </c>
      <c r="BC11">
        <f ca="1">OFFSET(TTinDV!$E$4,MATCH(DSUCV!C11,TTinDV!$A$5:$A$60,),)+BB11-1</f>
        <v>11</v>
      </c>
    </row>
    <row r="12" spans="1:55" ht="15.75">
      <c r="A12" s="69">
        <f>IF(OR(ROW()&gt;BC12,B12=""),"",COUNTIF($C$3:C12,C12))</f>
        <v>1</v>
      </c>
      <c r="B12" s="146" t="s">
        <v>260</v>
      </c>
      <c r="C12" s="70">
        <v>3</v>
      </c>
      <c r="D12" s="73"/>
      <c r="E12" s="189">
        <f ca="1" t="shared" si="1"/>
        <v>0</v>
      </c>
      <c r="F12" s="73"/>
      <c r="G12" s="73"/>
      <c r="H12" s="73"/>
      <c r="I12" s="73"/>
      <c r="J12" s="73"/>
      <c r="K12" s="73"/>
      <c r="L12" s="73"/>
      <c r="M12" s="217"/>
      <c r="N12" s="73"/>
      <c r="O12" s="73"/>
      <c r="P12" s="73"/>
      <c r="Q12" s="73"/>
      <c r="R12" s="73"/>
      <c r="S12" s="73"/>
      <c r="T12" s="73"/>
      <c r="U12" s="73"/>
      <c r="V12" s="73"/>
      <c r="W12" s="72"/>
      <c r="X12" s="75">
        <f ca="1">IF(ROW()&gt;TS_UCV+3,"",OFFSET(MauTH!$A$11,C12,16))</f>
        <v>0</v>
      </c>
      <c r="Y12" s="192">
        <f ca="1">IF(ROW()&gt;TS_UCV+3,"",OFFSET(MauTH!$A$11,C12,19+COUNTIF($C$4:C12,C12))+DATEDIF(D12,NOW(),"D")/10^8)</f>
        <v>0.00042496</v>
      </c>
      <c r="Z12" s="76" t="e">
        <f t="shared" si="2"/>
        <v>#DIV/0!</v>
      </c>
      <c r="AA12" s="77" t="e">
        <f ca="1" t="shared" si="0"/>
        <v>#DIV/0!</v>
      </c>
      <c r="AB12" s="78" t="e">
        <f ca="1">IF(ROW()&gt;TS_UCV+3,"",IF(MAX(INDIRECT("$AA$"&amp;BB12&amp;":$AA$"&amp;BC12))&lt;VLOOKUP(C12,TTinDV!$A$6:$D$14,4),"Thiếu",AA12))</f>
        <v>#DIV/0!</v>
      </c>
      <c r="BB12" s="1">
        <f t="shared" si="3"/>
        <v>12</v>
      </c>
      <c r="BC12">
        <f ca="1">OFFSET(TTinDV!$E$4,MATCH(DSUCV!C12,TTinDV!$A$5:$A$60,),)+BB12-1</f>
        <v>16</v>
      </c>
    </row>
    <row r="13" spans="1:55" ht="15.75">
      <c r="A13" s="69">
        <f>IF(OR(ROW()&gt;BC13,B13=""),"",COUNTIF($C$3:C13,C13))</f>
        <v>2</v>
      </c>
      <c r="B13" s="146" t="s">
        <v>261</v>
      </c>
      <c r="C13" s="70">
        <v>3</v>
      </c>
      <c r="D13" s="73"/>
      <c r="E13" s="189">
        <f ca="1" t="shared" si="1"/>
        <v>0</v>
      </c>
      <c r="F13" s="73"/>
      <c r="G13" s="73"/>
      <c r="H13" s="73"/>
      <c r="I13" s="73"/>
      <c r="J13" s="73"/>
      <c r="K13" s="73"/>
      <c r="L13" s="73"/>
      <c r="M13" s="217"/>
      <c r="N13" s="73"/>
      <c r="O13" s="73"/>
      <c r="P13" s="73"/>
      <c r="Q13" s="73"/>
      <c r="R13" s="73"/>
      <c r="S13" s="73"/>
      <c r="T13" s="73"/>
      <c r="U13" s="73"/>
      <c r="V13" s="73"/>
      <c r="W13" s="72"/>
      <c r="X13" s="75">
        <f ca="1">IF(ROW()&gt;TS_UCV+3,"",OFFSET(MauTH!$A$11,C13,16))</f>
        <v>0</v>
      </c>
      <c r="Y13" s="192">
        <f ca="1">IF(ROW()&gt;TS_UCV+3,"",OFFSET(MauTH!$A$11,C13,19+COUNTIF($C$4:C13,C13))+DATEDIF(D13,NOW(),"D")/10^8)</f>
        <v>0.00042496</v>
      </c>
      <c r="Z13" s="76" t="e">
        <f t="shared" si="2"/>
        <v>#DIV/0!</v>
      </c>
      <c r="AA13" s="77" t="e">
        <f ca="1" t="shared" si="0"/>
        <v>#DIV/0!</v>
      </c>
      <c r="AB13" s="78" t="e">
        <f ca="1">IF(ROW()&gt;TS_UCV+3,"",IF(MAX(INDIRECT("$AA$"&amp;BB13&amp;":$AA$"&amp;BC13))&lt;VLOOKUP(C13,TTinDV!$A$6:$D$14,4),"Thiếu",AA13))</f>
        <v>#DIV/0!</v>
      </c>
      <c r="BB13" s="1">
        <f t="shared" si="3"/>
        <v>12</v>
      </c>
      <c r="BC13">
        <f ca="1">OFFSET(TTinDV!$E$4,MATCH(DSUCV!C13,TTinDV!$A$5:$A$60,),)+BB13-1</f>
        <v>16</v>
      </c>
    </row>
    <row r="14" spans="1:55" ht="15.75">
      <c r="A14" s="69">
        <f>IF(OR(ROW()&gt;BC14,B14=""),"",COUNTIF($C$3:C14,C14))</f>
        <v>3</v>
      </c>
      <c r="B14" s="146" t="s">
        <v>262</v>
      </c>
      <c r="C14" s="70">
        <v>3</v>
      </c>
      <c r="D14" s="73"/>
      <c r="E14" s="189">
        <f ca="1" t="shared" si="1"/>
        <v>0</v>
      </c>
      <c r="F14" s="73"/>
      <c r="G14" s="73"/>
      <c r="H14" s="73"/>
      <c r="I14" s="73"/>
      <c r="J14" s="73"/>
      <c r="K14" s="73"/>
      <c r="L14" s="73"/>
      <c r="M14" s="217"/>
      <c r="N14" s="73"/>
      <c r="O14" s="73"/>
      <c r="P14" s="73"/>
      <c r="Q14" s="73"/>
      <c r="R14" s="73"/>
      <c r="S14" s="73"/>
      <c r="T14" s="73"/>
      <c r="U14" s="73"/>
      <c r="V14" s="73"/>
      <c r="W14" s="72"/>
      <c r="X14" s="75">
        <f ca="1">IF(ROW()&gt;TS_UCV+3,"",OFFSET(MauTH!$A$11,C14,16))</f>
        <v>0</v>
      </c>
      <c r="Y14" s="192">
        <f ca="1">IF(ROW()&gt;TS_UCV+3,"",OFFSET(MauTH!$A$11,C14,19+COUNTIF($C$4:C14,C14))+DATEDIF(D14,NOW(),"D")/10^8)</f>
        <v>0.00042496</v>
      </c>
      <c r="Z14" s="76" t="e">
        <f t="shared" si="2"/>
        <v>#DIV/0!</v>
      </c>
      <c r="AA14" s="77" t="e">
        <f ca="1" t="shared" si="0"/>
        <v>#DIV/0!</v>
      </c>
      <c r="AB14" s="78" t="e">
        <f ca="1">IF(ROW()&gt;TS_UCV+3,"",IF(MAX(INDIRECT("$AA$"&amp;BB14&amp;":$AA$"&amp;BC14))&lt;VLOOKUP(C14,TTinDV!$A$6:$D$14,4),"Thiếu",AA14))</f>
        <v>#DIV/0!</v>
      </c>
      <c r="BB14" s="1">
        <f t="shared" si="3"/>
        <v>12</v>
      </c>
      <c r="BC14">
        <f ca="1">OFFSET(TTinDV!$E$4,MATCH(DSUCV!C14,TTinDV!$A$5:$A$60,),)+BB14-1</f>
        <v>16</v>
      </c>
    </row>
    <row r="15" spans="1:55" ht="15.75">
      <c r="A15" s="69">
        <f>IF(OR(ROW()&gt;BC15,B15=""),"",COUNTIF($C$3:C15,C15))</f>
        <v>4</v>
      </c>
      <c r="B15" s="146" t="s">
        <v>263</v>
      </c>
      <c r="C15" s="70">
        <v>3</v>
      </c>
      <c r="D15" s="73"/>
      <c r="E15" s="189">
        <f ca="1" t="shared" si="1"/>
        <v>0</v>
      </c>
      <c r="F15" s="73"/>
      <c r="G15" s="73"/>
      <c r="H15" s="73"/>
      <c r="I15" s="73"/>
      <c r="J15" s="73"/>
      <c r="K15" s="73"/>
      <c r="L15" s="73"/>
      <c r="M15" s="217"/>
      <c r="N15" s="73"/>
      <c r="O15" s="73"/>
      <c r="P15" s="73"/>
      <c r="Q15" s="73"/>
      <c r="R15" s="73"/>
      <c r="S15" s="73"/>
      <c r="T15" s="73"/>
      <c r="U15" s="73"/>
      <c r="V15" s="73"/>
      <c r="W15" s="72"/>
      <c r="X15" s="75">
        <f ca="1">IF(ROW()&gt;TS_UCV+3,"",OFFSET(MauTH!$A$11,C15,16))</f>
        <v>0</v>
      </c>
      <c r="Y15" s="192">
        <f ca="1">IF(ROW()&gt;TS_UCV+3,"",OFFSET(MauTH!$A$11,C15,19+COUNTIF($C$4:C15,C15))+DATEDIF(D15,NOW(),"D")/10^8)</f>
        <v>0.00042496</v>
      </c>
      <c r="Z15" s="76" t="e">
        <f t="shared" si="2"/>
        <v>#DIV/0!</v>
      </c>
      <c r="AA15" s="77" t="e">
        <f ca="1" t="shared" si="0"/>
        <v>#DIV/0!</v>
      </c>
      <c r="AB15" s="78" t="e">
        <f ca="1">IF(ROW()&gt;TS_UCV+3,"",IF(MAX(INDIRECT("$AA$"&amp;BB15&amp;":$AA$"&amp;BC15))&lt;VLOOKUP(C15,TTinDV!$A$6:$D$14,4),"Thiếu",AA15))</f>
        <v>#DIV/0!</v>
      </c>
      <c r="BB15" s="1">
        <f t="shared" si="3"/>
        <v>12</v>
      </c>
      <c r="BC15">
        <f ca="1">OFFSET(TTinDV!$E$4,MATCH(DSUCV!C15,TTinDV!$A$5:$A$60,),)+BB15-1</f>
        <v>16</v>
      </c>
    </row>
    <row r="16" spans="1:55" ht="15.75">
      <c r="A16" s="69">
        <f>IF(OR(ROW()&gt;BC16,B16=""),"",COUNTIF($C$3:C16,C16))</f>
        <v>5</v>
      </c>
      <c r="B16" s="146" t="s">
        <v>264</v>
      </c>
      <c r="C16" s="70">
        <v>3</v>
      </c>
      <c r="D16" s="73"/>
      <c r="E16" s="189">
        <f ca="1" t="shared" si="1"/>
        <v>0</v>
      </c>
      <c r="F16" s="73"/>
      <c r="G16" s="73"/>
      <c r="H16" s="73"/>
      <c r="I16" s="73"/>
      <c r="J16" s="73"/>
      <c r="K16" s="73"/>
      <c r="L16" s="73"/>
      <c r="M16" s="217"/>
      <c r="N16" s="73"/>
      <c r="O16" s="73"/>
      <c r="P16" s="73"/>
      <c r="Q16" s="73"/>
      <c r="R16" s="73"/>
      <c r="S16" s="73"/>
      <c r="T16" s="73"/>
      <c r="U16" s="73"/>
      <c r="V16" s="73"/>
      <c r="W16" s="72"/>
      <c r="X16" s="75">
        <f ca="1">IF(ROW()&gt;TS_UCV+3,"",OFFSET(MauTH!$A$11,C16,16))</f>
        <v>0</v>
      </c>
      <c r="Y16" s="192">
        <f ca="1">IF(ROW()&gt;TS_UCV+3,"",OFFSET(MauTH!$A$11,C16,19+COUNTIF($C$4:C16,C16))+DATEDIF(D16,NOW(),"D")/10^8)</f>
        <v>0.00042496</v>
      </c>
      <c r="Z16" s="76" t="e">
        <f t="shared" si="2"/>
        <v>#DIV/0!</v>
      </c>
      <c r="AA16" s="77" t="e">
        <f ca="1" t="shared" si="0"/>
        <v>#DIV/0!</v>
      </c>
      <c r="AB16" s="78" t="e">
        <f ca="1">IF(ROW()&gt;TS_UCV+3,"",IF(MAX(INDIRECT("$AA$"&amp;BB16&amp;":$AA$"&amp;BC16))&lt;VLOOKUP(C16,TTinDV!$A$6:$D$14,4),"Thiếu",AA16))</f>
        <v>#DIV/0!</v>
      </c>
      <c r="BB16" s="1">
        <f t="shared" si="3"/>
        <v>12</v>
      </c>
      <c r="BC16">
        <f ca="1">OFFSET(TTinDV!$E$4,MATCH(DSUCV!C16,TTinDV!$A$5:$A$60,),)+BB16-1</f>
        <v>16</v>
      </c>
    </row>
    <row r="17" spans="1:55" ht="15.75">
      <c r="A17" s="69">
        <f>IF(OR(ROW()&gt;BC17,B17=""),"",COUNTIF($C$3:C17,C17))</f>
        <v>1</v>
      </c>
      <c r="B17" s="146" t="s">
        <v>265</v>
      </c>
      <c r="C17" s="70">
        <v>4</v>
      </c>
      <c r="D17" s="73"/>
      <c r="E17" s="189">
        <f ca="1" t="shared" si="1"/>
        <v>0</v>
      </c>
      <c r="F17" s="73"/>
      <c r="G17" s="73"/>
      <c r="H17" s="73"/>
      <c r="I17" s="73"/>
      <c r="J17" s="73"/>
      <c r="K17" s="73"/>
      <c r="L17" s="73"/>
      <c r="M17" s="217"/>
      <c r="N17" s="73"/>
      <c r="O17" s="73"/>
      <c r="P17" s="73"/>
      <c r="Q17" s="73"/>
      <c r="R17" s="73"/>
      <c r="S17" s="73"/>
      <c r="T17" s="73"/>
      <c r="U17" s="73"/>
      <c r="V17" s="73"/>
      <c r="W17" s="72"/>
      <c r="X17" s="75">
        <f ca="1">IF(ROW()&gt;TS_UCV+3,"",OFFSET(MauTH!$A$11,C17,16))</f>
        <v>0</v>
      </c>
      <c r="Y17" s="192">
        <f ca="1">IF(ROW()&gt;TS_UCV+3,"",OFFSET(MauTH!$A$11,C17,19+COUNTIF($C$4:C17,C17))+DATEDIF(D17,NOW(),"D")/10^8)</f>
        <v>0.00042496</v>
      </c>
      <c r="Z17" s="76" t="e">
        <f t="shared" si="2"/>
        <v>#DIV/0!</v>
      </c>
      <c r="AA17" s="77" t="e">
        <f ca="1" t="shared" si="0"/>
        <v>#DIV/0!</v>
      </c>
      <c r="AB17" s="78" t="e">
        <f ca="1">IF(ROW()&gt;TS_UCV+3,"",IF(MAX(INDIRECT("$AA$"&amp;BB17&amp;":$AA$"&amp;BC17))&lt;VLOOKUP(C17,TTinDV!$A$6:$D$14,4),"Thiếu",AA17))</f>
        <v>#DIV/0!</v>
      </c>
      <c r="BB17" s="1">
        <f t="shared" si="3"/>
        <v>17</v>
      </c>
      <c r="BC17">
        <f ca="1">OFFSET(TTinDV!$E$4,MATCH(DSUCV!C17,TTinDV!$A$5:$A$60,),)+BB17-1</f>
        <v>21</v>
      </c>
    </row>
    <row r="18" spans="1:55" ht="15.75">
      <c r="A18" s="69">
        <f>IF(OR(ROW()&gt;BC18,B18=""),"",COUNTIF($C$3:C18,C18))</f>
        <v>2</v>
      </c>
      <c r="B18" s="146" t="s">
        <v>266</v>
      </c>
      <c r="C18" s="70">
        <v>4</v>
      </c>
      <c r="D18" s="73"/>
      <c r="E18" s="189">
        <f ca="1" t="shared" si="1"/>
        <v>0</v>
      </c>
      <c r="F18" s="73"/>
      <c r="G18" s="73"/>
      <c r="H18" s="73"/>
      <c r="I18" s="73"/>
      <c r="J18" s="73"/>
      <c r="K18" s="73"/>
      <c r="L18" s="73"/>
      <c r="M18" s="217"/>
      <c r="N18" s="73"/>
      <c r="O18" s="73"/>
      <c r="P18" s="73"/>
      <c r="Q18" s="73"/>
      <c r="R18" s="73"/>
      <c r="S18" s="73"/>
      <c r="T18" s="73"/>
      <c r="U18" s="73"/>
      <c r="V18" s="73"/>
      <c r="W18" s="72"/>
      <c r="X18" s="75">
        <f ca="1">IF(ROW()&gt;TS_UCV+3,"",OFFSET(MauTH!$A$11,C18,16))</f>
        <v>0</v>
      </c>
      <c r="Y18" s="192">
        <f ca="1">IF(ROW()&gt;TS_UCV+3,"",OFFSET(MauTH!$A$11,C18,19+COUNTIF($C$4:C18,C18))+DATEDIF(D18,NOW(),"D")/10^8)</f>
        <v>0.00042496</v>
      </c>
      <c r="Z18" s="76" t="e">
        <f t="shared" si="2"/>
        <v>#DIV/0!</v>
      </c>
      <c r="AA18" s="77" t="e">
        <f ca="1" t="shared" si="0"/>
        <v>#DIV/0!</v>
      </c>
      <c r="AB18" s="78" t="e">
        <f ca="1">IF(ROW()&gt;TS_UCV+3,"",IF(MAX(INDIRECT("$AA$"&amp;BB18&amp;":$AA$"&amp;BC18))&lt;VLOOKUP(C18,TTinDV!$A$6:$D$14,4),"Thiếu",AA18))</f>
        <v>#DIV/0!</v>
      </c>
      <c r="BB18" s="1">
        <f t="shared" si="3"/>
        <v>17</v>
      </c>
      <c r="BC18">
        <f ca="1">OFFSET(TTinDV!$E$4,MATCH(DSUCV!C18,TTinDV!$A$5:$A$60,),)+BB18-1</f>
        <v>21</v>
      </c>
    </row>
    <row r="19" spans="1:55" ht="15.75">
      <c r="A19" s="69">
        <f>IF(OR(ROW()&gt;BC19,B19=""),"",COUNTIF($C$3:C19,C19))</f>
        <v>3</v>
      </c>
      <c r="B19" s="146" t="s">
        <v>267</v>
      </c>
      <c r="C19" s="70">
        <v>4</v>
      </c>
      <c r="D19" s="73"/>
      <c r="E19" s="189">
        <f ca="1" t="shared" si="1"/>
        <v>0</v>
      </c>
      <c r="F19" s="73"/>
      <c r="G19" s="73"/>
      <c r="H19" s="73"/>
      <c r="I19" s="73"/>
      <c r="J19" s="73"/>
      <c r="K19" s="73"/>
      <c r="L19" s="73"/>
      <c r="M19" s="217"/>
      <c r="N19" s="73"/>
      <c r="O19" s="73"/>
      <c r="P19" s="73"/>
      <c r="Q19" s="73"/>
      <c r="R19" s="73"/>
      <c r="S19" s="73"/>
      <c r="T19" s="73"/>
      <c r="U19" s="73"/>
      <c r="V19" s="73"/>
      <c r="W19" s="72"/>
      <c r="X19" s="75">
        <f ca="1">IF(ROW()&gt;TS_UCV+3,"",OFFSET(MauTH!$A$11,C19,16))</f>
        <v>0</v>
      </c>
      <c r="Y19" s="192">
        <f ca="1">IF(ROW()&gt;TS_UCV+3,"",OFFSET(MauTH!$A$11,C19,19+COUNTIF($C$4:C19,C19))+DATEDIF(D19,NOW(),"D")/10^8)</f>
        <v>0.00042496</v>
      </c>
      <c r="Z19" s="76" t="e">
        <f t="shared" si="2"/>
        <v>#DIV/0!</v>
      </c>
      <c r="AA19" s="77" t="e">
        <f ca="1" t="shared" si="0"/>
        <v>#DIV/0!</v>
      </c>
      <c r="AB19" s="78" t="e">
        <f ca="1">IF(ROW()&gt;TS_UCV+3,"",IF(MAX(INDIRECT("$AA$"&amp;BB19&amp;":$AA$"&amp;BC19))&lt;VLOOKUP(C19,TTinDV!$A$6:$D$14,4),"Thiếu",AA19))</f>
        <v>#DIV/0!</v>
      </c>
      <c r="BB19" s="1">
        <f t="shared" si="3"/>
        <v>17</v>
      </c>
      <c r="BC19">
        <f ca="1">OFFSET(TTinDV!$E$4,MATCH(DSUCV!C19,TTinDV!$A$5:$A$60,),)+BB19-1</f>
        <v>21</v>
      </c>
    </row>
    <row r="20" spans="1:55" ht="15.75">
      <c r="A20" s="69">
        <f>IF(OR(ROW()&gt;BC20,B20=""),"",COUNTIF($C$3:C20,C20))</f>
        <v>4</v>
      </c>
      <c r="B20" s="146" t="s">
        <v>268</v>
      </c>
      <c r="C20" s="70">
        <v>4</v>
      </c>
      <c r="D20" s="73"/>
      <c r="E20" s="189">
        <f ca="1" t="shared" si="1"/>
        <v>0</v>
      </c>
      <c r="F20" s="73"/>
      <c r="G20" s="73"/>
      <c r="H20" s="73"/>
      <c r="I20" s="73"/>
      <c r="J20" s="73"/>
      <c r="K20" s="73"/>
      <c r="L20" s="73"/>
      <c r="M20" s="217"/>
      <c r="N20" s="73"/>
      <c r="O20" s="73"/>
      <c r="P20" s="73"/>
      <c r="Q20" s="73"/>
      <c r="R20" s="73"/>
      <c r="S20" s="73"/>
      <c r="T20" s="73"/>
      <c r="U20" s="73"/>
      <c r="V20" s="73"/>
      <c r="W20" s="72"/>
      <c r="X20" s="75">
        <f ca="1">IF(ROW()&gt;TS_UCV+3,"",OFFSET(MauTH!$A$11,C20,16))</f>
        <v>0</v>
      </c>
      <c r="Y20" s="192">
        <f ca="1">IF(ROW()&gt;TS_UCV+3,"",OFFSET(MauTH!$A$11,C20,19+COUNTIF($C$4:C20,C20))+DATEDIF(D20,NOW(),"D")/10^8)</f>
        <v>0.00042496</v>
      </c>
      <c r="Z20" s="76" t="e">
        <f t="shared" si="2"/>
        <v>#DIV/0!</v>
      </c>
      <c r="AA20" s="77" t="e">
        <f ca="1" t="shared" si="0"/>
        <v>#DIV/0!</v>
      </c>
      <c r="AB20" s="78" t="e">
        <f ca="1">IF(ROW()&gt;TS_UCV+3,"",IF(MAX(INDIRECT("$AA$"&amp;BB20&amp;":$AA$"&amp;BC20))&lt;VLOOKUP(C20,TTinDV!$A$6:$D$14,4),"Thiếu",AA20))</f>
        <v>#DIV/0!</v>
      </c>
      <c r="BB20" s="1">
        <f t="shared" si="3"/>
        <v>17</v>
      </c>
      <c r="BC20">
        <f ca="1">OFFSET(TTinDV!$E$4,MATCH(DSUCV!C20,TTinDV!$A$5:$A$60,),)+BB20-1</f>
        <v>21</v>
      </c>
    </row>
    <row r="21" spans="1:55" ht="15.75">
      <c r="A21" s="69">
        <f>IF(OR(ROW()&gt;BC21,B21=""),"",COUNTIF($C$3:C21,C21))</f>
        <v>5</v>
      </c>
      <c r="B21" s="146" t="s">
        <v>269</v>
      </c>
      <c r="C21" s="70">
        <v>4</v>
      </c>
      <c r="D21" s="73"/>
      <c r="E21" s="189">
        <f ca="1" t="shared" si="1"/>
        <v>0</v>
      </c>
      <c r="F21" s="73"/>
      <c r="G21" s="73"/>
      <c r="H21" s="73"/>
      <c r="I21" s="73"/>
      <c r="J21" s="73"/>
      <c r="K21" s="73"/>
      <c r="L21" s="73"/>
      <c r="M21" s="217"/>
      <c r="N21" s="73"/>
      <c r="O21" s="73"/>
      <c r="P21" s="73"/>
      <c r="Q21" s="73"/>
      <c r="R21" s="73"/>
      <c r="S21" s="73"/>
      <c r="T21" s="73"/>
      <c r="U21" s="73"/>
      <c r="V21" s="73"/>
      <c r="W21" s="72"/>
      <c r="X21" s="75">
        <f ca="1">IF(ROW()&gt;TS_UCV+3,"",OFFSET(MauTH!$A$11,C21,16))</f>
        <v>0</v>
      </c>
      <c r="Y21" s="192">
        <f ca="1">IF(ROW()&gt;TS_UCV+3,"",OFFSET(MauTH!$A$11,C21,19+COUNTIF($C$4:C21,C21))+DATEDIF(D21,NOW(),"D")/10^8)</f>
        <v>0.00042496</v>
      </c>
      <c r="Z21" s="76" t="e">
        <f t="shared" si="2"/>
        <v>#DIV/0!</v>
      </c>
      <c r="AA21" s="77" t="e">
        <f ca="1" t="shared" si="0"/>
        <v>#DIV/0!</v>
      </c>
      <c r="AB21" s="78" t="e">
        <f ca="1">IF(ROW()&gt;TS_UCV+3,"",IF(MAX(INDIRECT("$AA$"&amp;BB21&amp;":$AA$"&amp;BC21))&lt;VLOOKUP(C21,TTinDV!$A$6:$D$14,4),"Thiếu",AA21))</f>
        <v>#DIV/0!</v>
      </c>
      <c r="BB21" s="1">
        <f t="shared" si="3"/>
        <v>17</v>
      </c>
      <c r="BC21">
        <f ca="1">OFFSET(TTinDV!$E$4,MATCH(DSUCV!C21,TTinDV!$A$5:$A$60,),)+BB21-1</f>
        <v>21</v>
      </c>
    </row>
    <row r="22" spans="1:55" ht="15.75">
      <c r="A22" s="69">
        <f>IF(OR(ROW()&gt;BC22,B22=""),"",COUNTIF($C$3:C22,C22))</f>
        <v>1</v>
      </c>
      <c r="B22" s="146" t="s">
        <v>270</v>
      </c>
      <c r="C22" s="70">
        <v>5</v>
      </c>
      <c r="D22" s="73"/>
      <c r="E22" s="189">
        <f ca="1" t="shared" si="1"/>
        <v>0</v>
      </c>
      <c r="F22" s="73"/>
      <c r="G22" s="73"/>
      <c r="H22" s="73"/>
      <c r="I22" s="73"/>
      <c r="J22" s="73"/>
      <c r="K22" s="73"/>
      <c r="L22" s="73"/>
      <c r="M22" s="217"/>
      <c r="N22" s="73"/>
      <c r="O22" s="73"/>
      <c r="P22" s="73"/>
      <c r="Q22" s="73"/>
      <c r="R22" s="73"/>
      <c r="S22" s="73"/>
      <c r="T22" s="73"/>
      <c r="U22" s="73"/>
      <c r="V22" s="73"/>
      <c r="W22" s="72"/>
      <c r="X22" s="75">
        <f ca="1">IF(ROW()&gt;TS_UCV+3,"",OFFSET(MauTH!$A$11,C22,16))</f>
        <v>0</v>
      </c>
      <c r="Y22" s="192">
        <f ca="1">IF(ROW()&gt;TS_UCV+3,"",OFFSET(MauTH!$A$11,C22,19+COUNTIF($C$4:C22,C22))+DATEDIF(D22,NOW(),"D")/10^8)</f>
        <v>0.00042496</v>
      </c>
      <c r="Z22" s="76" t="e">
        <f t="shared" si="2"/>
        <v>#DIV/0!</v>
      </c>
      <c r="AA22" s="77" t="e">
        <f ca="1" t="shared" si="0"/>
        <v>#DIV/0!</v>
      </c>
      <c r="AB22" s="78" t="e">
        <f ca="1">IF(ROW()&gt;TS_UCV+3,"",IF(MAX(INDIRECT("$AA$"&amp;BB22&amp;":$AA$"&amp;BC22))&lt;VLOOKUP(C22,TTinDV!$A$6:$D$14,4),"Thiếu",AA22))</f>
        <v>#DIV/0!</v>
      </c>
      <c r="BB22" s="1">
        <f t="shared" si="3"/>
        <v>22</v>
      </c>
      <c r="BC22">
        <f ca="1">OFFSET(TTinDV!$E$4,MATCH(DSUCV!C22,TTinDV!$A$5:$A$60,),)+BB22-1</f>
        <v>28</v>
      </c>
    </row>
    <row r="23" spans="1:55" ht="15.75">
      <c r="A23" s="69">
        <f>IF(OR(ROW()&gt;BC23,B23=""),"",COUNTIF($C$3:C23,C23))</f>
        <v>2</v>
      </c>
      <c r="B23" s="146" t="s">
        <v>271</v>
      </c>
      <c r="C23" s="70">
        <v>5</v>
      </c>
      <c r="D23" s="73"/>
      <c r="E23" s="189">
        <f ca="1" t="shared" si="1"/>
        <v>0</v>
      </c>
      <c r="F23" s="73"/>
      <c r="G23" s="73"/>
      <c r="H23" s="73"/>
      <c r="I23" s="73"/>
      <c r="J23" s="73"/>
      <c r="K23" s="73"/>
      <c r="L23" s="73"/>
      <c r="M23" s="217"/>
      <c r="N23" s="73"/>
      <c r="O23" s="73"/>
      <c r="P23" s="73"/>
      <c r="Q23" s="73"/>
      <c r="R23" s="73"/>
      <c r="S23" s="73"/>
      <c r="T23" s="73"/>
      <c r="U23" s="73"/>
      <c r="V23" s="73"/>
      <c r="W23" s="72"/>
      <c r="X23" s="75">
        <f ca="1">IF(ROW()&gt;TS_UCV+3,"",OFFSET(MauTH!$A$11,C23,16))</f>
        <v>0</v>
      </c>
      <c r="Y23" s="192">
        <f ca="1">IF(ROW()&gt;TS_UCV+3,"",OFFSET(MauTH!$A$11,C23,19+COUNTIF($C$4:C23,C23))+DATEDIF(D23,NOW(),"D")/10^8)</f>
        <v>0.00042496</v>
      </c>
      <c r="Z23" s="76" t="e">
        <f t="shared" si="2"/>
        <v>#DIV/0!</v>
      </c>
      <c r="AA23" s="77" t="e">
        <f ca="1" t="shared" si="0"/>
        <v>#DIV/0!</v>
      </c>
      <c r="AB23" s="78" t="e">
        <f ca="1">IF(ROW()&gt;TS_UCV+3,"",IF(MAX(INDIRECT("$AA$"&amp;BB23&amp;":$AA$"&amp;BC23))&lt;VLOOKUP(C23,TTinDV!$A$6:$D$14,4),"Thiếu",AA23))</f>
        <v>#DIV/0!</v>
      </c>
      <c r="BB23" s="1">
        <f t="shared" si="3"/>
        <v>22</v>
      </c>
      <c r="BC23">
        <f ca="1">OFFSET(TTinDV!$E$4,MATCH(DSUCV!C23,TTinDV!$A$5:$A$60,),)+BB23-1</f>
        <v>28</v>
      </c>
    </row>
    <row r="24" spans="1:55" ht="15.75">
      <c r="A24" s="69">
        <f>IF(OR(ROW()&gt;BC24,B24=""),"",COUNTIF($C$3:C24,C24))</f>
        <v>3</v>
      </c>
      <c r="B24" s="146" t="s">
        <v>272</v>
      </c>
      <c r="C24" s="70">
        <v>5</v>
      </c>
      <c r="D24" s="73"/>
      <c r="E24" s="189">
        <f ca="1" t="shared" si="1"/>
        <v>0</v>
      </c>
      <c r="F24" s="73"/>
      <c r="G24" s="73"/>
      <c r="H24" s="73"/>
      <c r="I24" s="73"/>
      <c r="J24" s="73"/>
      <c r="K24" s="73"/>
      <c r="L24" s="73"/>
      <c r="M24" s="217"/>
      <c r="N24" s="73"/>
      <c r="O24" s="73"/>
      <c r="P24" s="73"/>
      <c r="Q24" s="73"/>
      <c r="R24" s="73"/>
      <c r="S24" s="73"/>
      <c r="T24" s="73"/>
      <c r="U24" s="73"/>
      <c r="V24" s="73"/>
      <c r="W24" s="72"/>
      <c r="X24" s="75">
        <f ca="1">IF(ROW()&gt;TS_UCV+3,"",OFFSET(MauTH!$A$11,C24,16))</f>
        <v>0</v>
      </c>
      <c r="Y24" s="192">
        <f ca="1">IF(ROW()&gt;TS_UCV+3,"",OFFSET(MauTH!$A$11,C24,19+COUNTIF($C$4:C24,C24))+DATEDIF(D24,NOW(),"D")/10^8)</f>
        <v>0.00042496</v>
      </c>
      <c r="Z24" s="76" t="e">
        <f t="shared" si="2"/>
        <v>#DIV/0!</v>
      </c>
      <c r="AA24" s="77" t="e">
        <f ca="1" t="shared" si="0"/>
        <v>#DIV/0!</v>
      </c>
      <c r="AB24" s="78" t="e">
        <f ca="1">IF(ROW()&gt;TS_UCV+3,"",IF(MAX(INDIRECT("$AA$"&amp;BB24&amp;":$AA$"&amp;BC24))&lt;VLOOKUP(C24,TTinDV!$A$6:$D$14,4),"Thiếu",AA24))</f>
        <v>#DIV/0!</v>
      </c>
      <c r="BB24" s="1">
        <f t="shared" si="3"/>
        <v>22</v>
      </c>
      <c r="BC24">
        <f ca="1">OFFSET(TTinDV!$E$4,MATCH(DSUCV!C24,TTinDV!$A$5:$A$60,),)+BB24-1</f>
        <v>28</v>
      </c>
    </row>
    <row r="25" spans="1:55" ht="15.75">
      <c r="A25" s="69">
        <f>IF(OR(ROW()&gt;BC25,B25=""),"",COUNTIF($C$3:C25,C25))</f>
        <v>4</v>
      </c>
      <c r="B25" s="146" t="s">
        <v>273</v>
      </c>
      <c r="C25" s="70">
        <v>5</v>
      </c>
      <c r="D25" s="73"/>
      <c r="E25" s="189">
        <f ca="1" t="shared" si="1"/>
        <v>0</v>
      </c>
      <c r="F25" s="73"/>
      <c r="G25" s="73"/>
      <c r="H25" s="73"/>
      <c r="I25" s="73"/>
      <c r="J25" s="73"/>
      <c r="K25" s="73"/>
      <c r="L25" s="73"/>
      <c r="M25" s="217"/>
      <c r="N25" s="73"/>
      <c r="O25" s="73"/>
      <c r="P25" s="73"/>
      <c r="Q25" s="73"/>
      <c r="R25" s="73"/>
      <c r="S25" s="73"/>
      <c r="T25" s="73"/>
      <c r="U25" s="73"/>
      <c r="V25" s="73"/>
      <c r="W25" s="72"/>
      <c r="X25" s="75">
        <f ca="1">IF(ROW()&gt;TS_UCV+3,"",OFFSET(MauTH!$A$11,C25,16))</f>
        <v>0</v>
      </c>
      <c r="Y25" s="192">
        <f ca="1">IF(ROW()&gt;TS_UCV+3,"",OFFSET(MauTH!$A$11,C25,19+COUNTIF($C$4:C25,C25))+DATEDIF(D25,NOW(),"D")/10^8)</f>
        <v>0.00042496</v>
      </c>
      <c r="Z25" s="76" t="e">
        <f t="shared" si="2"/>
        <v>#DIV/0!</v>
      </c>
      <c r="AA25" s="77" t="e">
        <f ca="1" t="shared" si="0"/>
        <v>#DIV/0!</v>
      </c>
      <c r="AB25" s="78" t="e">
        <f ca="1">IF(ROW()&gt;TS_UCV+3,"",IF(MAX(INDIRECT("$AA$"&amp;BB25&amp;":$AA$"&amp;BC25))&lt;VLOOKUP(C25,TTinDV!$A$6:$D$14,4),"Thiếu",AA25))</f>
        <v>#DIV/0!</v>
      </c>
      <c r="BB25" s="1">
        <f t="shared" si="3"/>
        <v>22</v>
      </c>
      <c r="BC25">
        <f ca="1">OFFSET(TTinDV!$E$4,MATCH(DSUCV!C25,TTinDV!$A$5:$A$60,),)+BB25-1</f>
        <v>28</v>
      </c>
    </row>
    <row r="26" spans="1:55" ht="15.75">
      <c r="A26" s="69">
        <f>IF(OR(ROW()&gt;BC26,B26=""),"",COUNTIF($C$3:C26,C26))</f>
        <v>5</v>
      </c>
      <c r="B26" s="146" t="s">
        <v>274</v>
      </c>
      <c r="C26" s="70">
        <v>5</v>
      </c>
      <c r="D26" s="73"/>
      <c r="E26" s="189">
        <f ca="1" t="shared" si="1"/>
        <v>0</v>
      </c>
      <c r="F26" s="73"/>
      <c r="G26" s="73"/>
      <c r="H26" s="73"/>
      <c r="I26" s="73"/>
      <c r="J26" s="73"/>
      <c r="K26" s="73"/>
      <c r="L26" s="73"/>
      <c r="M26" s="217"/>
      <c r="N26" s="73"/>
      <c r="O26" s="73"/>
      <c r="P26" s="73"/>
      <c r="Q26" s="73"/>
      <c r="R26" s="73"/>
      <c r="S26" s="73"/>
      <c r="T26" s="73"/>
      <c r="U26" s="73"/>
      <c r="V26" s="73"/>
      <c r="W26" s="72"/>
      <c r="X26" s="75">
        <f ca="1">IF(ROW()&gt;TS_UCV+3,"",OFFSET(MauTH!$A$11,C26,16))</f>
        <v>0</v>
      </c>
      <c r="Y26" s="192">
        <f ca="1">IF(ROW()&gt;TS_UCV+3,"",OFFSET(MauTH!$A$11,C26,19+COUNTIF($C$4:C26,C26))+DATEDIF(D26,NOW(),"D")/10^8)</f>
        <v>0.00042496</v>
      </c>
      <c r="Z26" s="76" t="e">
        <f t="shared" si="2"/>
        <v>#DIV/0!</v>
      </c>
      <c r="AA26" s="77" t="e">
        <f ca="1" t="shared" si="0"/>
        <v>#DIV/0!</v>
      </c>
      <c r="AB26" s="78" t="e">
        <f ca="1">IF(ROW()&gt;TS_UCV+3,"",IF(MAX(INDIRECT("$AA$"&amp;BB26&amp;":$AA$"&amp;BC26))&lt;VLOOKUP(C26,TTinDV!$A$6:$D$14,4),"Thiếu",AA26))</f>
        <v>#DIV/0!</v>
      </c>
      <c r="BB26" s="1">
        <f t="shared" si="3"/>
        <v>22</v>
      </c>
      <c r="BC26">
        <f ca="1">OFFSET(TTinDV!$E$4,MATCH(DSUCV!C26,TTinDV!$A$5:$A$60,),)+BB26-1</f>
        <v>28</v>
      </c>
    </row>
    <row r="27" spans="1:55" ht="15.75">
      <c r="A27" s="69">
        <f>IF(OR(ROW()&gt;BC27,B27=""),"",COUNTIF($C$3:C27,C27))</f>
        <v>6</v>
      </c>
      <c r="B27" s="146" t="s">
        <v>275</v>
      </c>
      <c r="C27" s="70">
        <v>5</v>
      </c>
      <c r="D27" s="191">
        <v>32509</v>
      </c>
      <c r="E27" s="189">
        <f ca="1" t="shared" si="1"/>
        <v>27</v>
      </c>
      <c r="F27" s="73"/>
      <c r="G27" s="73"/>
      <c r="H27" s="73"/>
      <c r="I27" s="73"/>
      <c r="J27" s="73"/>
      <c r="K27" s="73"/>
      <c r="L27" s="73"/>
      <c r="M27" s="217"/>
      <c r="N27" s="73"/>
      <c r="O27" s="73"/>
      <c r="P27" s="73"/>
      <c r="Q27" s="73"/>
      <c r="R27" s="73"/>
      <c r="S27" s="73"/>
      <c r="T27" s="73"/>
      <c r="U27" s="73"/>
      <c r="V27" s="73"/>
      <c r="W27" s="72"/>
      <c r="X27" s="75">
        <f ca="1">IF(ROW()&gt;TS_UCV+3,"",OFFSET(MauTH!$A$11,C27,16))</f>
        <v>0</v>
      </c>
      <c r="Y27" s="192">
        <f ca="1">IF(ROW()&gt;TS_UCV+3,"",OFFSET(MauTH!$A$11,C27,19+COUNTIF($C$4:C27,C27))+DATEDIF(D27,NOW(),"D")/10^8)</f>
        <v>9.987E-05</v>
      </c>
      <c r="Z27" s="76" t="e">
        <f t="shared" si="2"/>
        <v>#DIV/0!</v>
      </c>
      <c r="AA27" s="77" t="e">
        <f ca="1" t="shared" si="0"/>
        <v>#DIV/0!</v>
      </c>
      <c r="AB27" s="78" t="e">
        <f ca="1">IF(ROW()&gt;TS_UCV+3,"",IF(MAX(INDIRECT("$AA$"&amp;BB27&amp;":$AA$"&amp;BC27))&lt;VLOOKUP(C27,TTinDV!$A$6:$D$14,4),"Thiếu",AA27))</f>
        <v>#DIV/0!</v>
      </c>
      <c r="BB27" s="1">
        <f t="shared" si="3"/>
        <v>22</v>
      </c>
      <c r="BC27">
        <f ca="1">OFFSET(TTinDV!$E$4,MATCH(DSUCV!C27,TTinDV!$A$5:$A$60,),)+BB27-1</f>
        <v>28</v>
      </c>
    </row>
    <row r="28" spans="1:55" ht="15.75">
      <c r="A28" s="69">
        <f>IF(OR(ROW()&gt;BC28,B28=""),"",COUNTIF($C$3:C28,C28))</f>
        <v>7</v>
      </c>
      <c r="B28" s="146" t="s">
        <v>276</v>
      </c>
      <c r="C28" s="70">
        <v>5</v>
      </c>
      <c r="D28" s="191">
        <v>29983</v>
      </c>
      <c r="E28" s="189">
        <f ca="1" t="shared" si="1"/>
        <v>34</v>
      </c>
      <c r="F28" s="73"/>
      <c r="G28" s="73"/>
      <c r="H28" s="73"/>
      <c r="I28" s="73"/>
      <c r="J28" s="73"/>
      <c r="K28" s="73"/>
      <c r="L28" s="73"/>
      <c r="M28" s="217"/>
      <c r="N28" s="73"/>
      <c r="O28" s="73"/>
      <c r="P28" s="73"/>
      <c r="Q28" s="73"/>
      <c r="R28" s="73"/>
      <c r="S28" s="73"/>
      <c r="T28" s="73"/>
      <c r="U28" s="73"/>
      <c r="V28" s="73"/>
      <c r="W28" s="72"/>
      <c r="X28" s="75">
        <f ca="1">IF(ROW()&gt;TS_UCV+3,"",OFFSET(MauTH!$A$11,C28,16))</f>
        <v>0</v>
      </c>
      <c r="Y28" s="192">
        <f ca="1">IF(ROW()&gt;TS_UCV+3,"",OFFSET(MauTH!$A$11,C28,19+COUNTIF($C$4:C28,C28))+DATEDIF(D28,NOW(),"D")/10^8)</f>
        <v>0.00012513</v>
      </c>
      <c r="Z28" s="76" t="e">
        <f t="shared" si="2"/>
        <v>#DIV/0!</v>
      </c>
      <c r="AA28" s="77" t="e">
        <f ca="1" t="shared" si="0"/>
        <v>#DIV/0!</v>
      </c>
      <c r="AB28" s="78" t="e">
        <f ca="1">IF(ROW()&gt;TS_UCV+3,"",IF(MAX(INDIRECT("$AA$"&amp;BB28&amp;":$AA$"&amp;BC28))&lt;VLOOKUP(C28,TTinDV!$A$6:$D$14,4),"Thiếu",AA28))</f>
        <v>#DIV/0!</v>
      </c>
      <c r="BB28" s="1">
        <f t="shared" si="3"/>
        <v>22</v>
      </c>
      <c r="BC28">
        <f ca="1">OFFSET(TTinDV!$E$4,MATCH(DSUCV!C28,TTinDV!$A$5:$A$60,),)+BB28-1</f>
        <v>28</v>
      </c>
    </row>
    <row r="29" spans="1:55" ht="15.75">
      <c r="A29" s="69">
        <f>IF(OR(ROW()&gt;BC29,B29=""),"",COUNTIF($C$3:C29,C29))</f>
        <v>1</v>
      </c>
      <c r="B29" s="146" t="s">
        <v>277</v>
      </c>
      <c r="C29" s="70">
        <v>6</v>
      </c>
      <c r="D29" s="191">
        <v>28915</v>
      </c>
      <c r="E29" s="189">
        <f ca="1" t="shared" si="1"/>
        <v>37</v>
      </c>
      <c r="F29" s="73"/>
      <c r="G29" s="73"/>
      <c r="H29" s="73"/>
      <c r="I29" s="73"/>
      <c r="J29" s="73"/>
      <c r="K29" s="73"/>
      <c r="L29" s="73"/>
      <c r="M29" s="217"/>
      <c r="N29" s="73"/>
      <c r="O29" s="73"/>
      <c r="P29" s="73"/>
      <c r="Q29" s="73"/>
      <c r="R29" s="73"/>
      <c r="S29" s="73"/>
      <c r="T29" s="73"/>
      <c r="U29" s="73"/>
      <c r="V29" s="73"/>
      <c r="W29" s="72"/>
      <c r="X29" s="75">
        <f ca="1">IF(ROW()&gt;TS_UCV+3,"",OFFSET(MauTH!$A$11,C29,16))</f>
        <v>0</v>
      </c>
      <c r="Y29" s="192">
        <f ca="1">IF(ROW()&gt;TS_UCV+3,"",OFFSET(MauTH!$A$11,C29,19+COUNTIF($C$4:C29,C29))+DATEDIF(D29,NOW(),"D")/10^8)</f>
        <v>0.00013581</v>
      </c>
      <c r="Z29" s="76" t="e">
        <f t="shared" si="2"/>
        <v>#DIV/0!</v>
      </c>
      <c r="AA29" s="77" t="e">
        <f ca="1" t="shared" si="0"/>
        <v>#DIV/0!</v>
      </c>
      <c r="AB29" s="78" t="e">
        <f ca="1">IF(ROW()&gt;TS_UCV+3,"",IF(MAX(INDIRECT("$AA$"&amp;BB29&amp;":$AA$"&amp;BC29))&lt;VLOOKUP(C29,TTinDV!$A$6:$D$14,4),"Thiếu",AA29))</f>
        <v>#DIV/0!</v>
      </c>
      <c r="BB29" s="1">
        <f t="shared" si="3"/>
        <v>29</v>
      </c>
      <c r="BC29">
        <f ca="1">OFFSET(TTinDV!$E$4,MATCH(DSUCV!C29,TTinDV!$A$5:$A$60,),)+BB29-1</f>
        <v>31</v>
      </c>
    </row>
    <row r="30" spans="1:55" ht="15.75">
      <c r="A30" s="69">
        <f>IF(OR(ROW()&gt;BC30,B30=""),"",COUNTIF($C$3:C30,C30))</f>
        <v>2</v>
      </c>
      <c r="B30" s="146" t="s">
        <v>278</v>
      </c>
      <c r="C30" s="70">
        <v>6</v>
      </c>
      <c r="D30" s="191">
        <v>29738</v>
      </c>
      <c r="E30" s="189">
        <f ca="1" t="shared" si="1"/>
        <v>34</v>
      </c>
      <c r="F30" s="73"/>
      <c r="G30" s="73"/>
      <c r="H30" s="73"/>
      <c r="I30" s="73"/>
      <c r="J30" s="73"/>
      <c r="K30" s="73"/>
      <c r="L30" s="73"/>
      <c r="M30" s="217"/>
      <c r="N30" s="73"/>
      <c r="O30" s="73"/>
      <c r="P30" s="73"/>
      <c r="Q30" s="73"/>
      <c r="R30" s="73"/>
      <c r="S30" s="73"/>
      <c r="T30" s="73"/>
      <c r="U30" s="73"/>
      <c r="V30" s="73"/>
      <c r="W30" s="72"/>
      <c r="X30" s="75">
        <f ca="1">IF(ROW()&gt;TS_UCV+3,"",OFFSET(MauTH!$A$11,C30,16))</f>
        <v>0</v>
      </c>
      <c r="Y30" s="192">
        <f ca="1">IF(ROW()&gt;TS_UCV+3,"",OFFSET(MauTH!$A$11,C30,19+COUNTIF($C$4:C30,C30))+DATEDIF(D30,NOW(),"D")/10^8)</f>
        <v>0.00012758</v>
      </c>
      <c r="Z30" s="76" t="e">
        <f t="shared" si="2"/>
        <v>#DIV/0!</v>
      </c>
      <c r="AA30" s="77" t="e">
        <f ca="1" t="shared" si="0"/>
        <v>#DIV/0!</v>
      </c>
      <c r="AB30" s="78" t="e">
        <f ca="1">IF(ROW()&gt;TS_UCV+3,"",IF(MAX(INDIRECT("$AA$"&amp;BB30&amp;":$AA$"&amp;BC30))&lt;VLOOKUP(C30,TTinDV!$A$6:$D$14,4),"Thiếu",AA30))</f>
        <v>#DIV/0!</v>
      </c>
      <c r="BB30" s="1">
        <f t="shared" si="3"/>
        <v>29</v>
      </c>
      <c r="BC30">
        <f ca="1">OFFSET(TTinDV!$E$4,MATCH(DSUCV!C30,TTinDV!$A$5:$A$60,),)+BB30-1</f>
        <v>31</v>
      </c>
    </row>
    <row r="31" spans="1:55" ht="15.75">
      <c r="A31" s="69">
        <f>IF(OR(ROW()&gt;BC31,B31=""),"",COUNTIF($C$3:C31,C31))</f>
        <v>3</v>
      </c>
      <c r="B31" s="146" t="s">
        <v>279</v>
      </c>
      <c r="C31" s="70">
        <v>6</v>
      </c>
      <c r="D31" s="191">
        <v>21824</v>
      </c>
      <c r="E31" s="189">
        <f ca="1" t="shared" si="1"/>
        <v>56</v>
      </c>
      <c r="F31" s="73"/>
      <c r="G31" s="73"/>
      <c r="H31" s="73"/>
      <c r="I31" s="73"/>
      <c r="J31" s="73"/>
      <c r="K31" s="73"/>
      <c r="L31" s="73"/>
      <c r="M31" s="217"/>
      <c r="N31" s="73"/>
      <c r="O31" s="73"/>
      <c r="P31" s="73"/>
      <c r="Q31" s="73"/>
      <c r="R31" s="73"/>
      <c r="S31" s="73"/>
      <c r="T31" s="73"/>
      <c r="U31" s="73"/>
      <c r="V31" s="73"/>
      <c r="W31" s="72"/>
      <c r="X31" s="75">
        <f ca="1">IF(ROW()&gt;TS_UCV+3,"",OFFSET(MauTH!$A$11,C31,16))</f>
        <v>0</v>
      </c>
      <c r="Y31" s="192">
        <f ca="1">IF(ROW()&gt;TS_UCV+3,"",OFFSET(MauTH!$A$11,C31,19+COUNTIF($C$4:C31,C31))+DATEDIF(D31,NOW(),"D")/10^8)</f>
        <v>0.00020672</v>
      </c>
      <c r="Z31" s="76" t="e">
        <f t="shared" si="2"/>
        <v>#DIV/0!</v>
      </c>
      <c r="AA31" s="77" t="e">
        <f ca="1" t="shared" si="0"/>
        <v>#DIV/0!</v>
      </c>
      <c r="AB31" s="78" t="e">
        <f ca="1">IF(ROW()&gt;TS_UCV+3,"",IF(MAX(INDIRECT("$AA$"&amp;BB31&amp;":$AA$"&amp;BC31))&lt;VLOOKUP(C31,TTinDV!$A$6:$D$14,4),"Thiếu",AA31))</f>
        <v>#DIV/0!</v>
      </c>
      <c r="BB31" s="1">
        <f t="shared" si="3"/>
        <v>29</v>
      </c>
      <c r="BC31">
        <f ca="1">OFFSET(TTinDV!$E$4,MATCH(DSUCV!C31,TTinDV!$A$5:$A$60,),)+BB31-1</f>
        <v>31</v>
      </c>
    </row>
    <row r="32" spans="1:55" ht="15.75">
      <c r="A32" s="69">
        <f>IF(OR(ROW()&gt;BC32,B32=""),"",COUNTIF($C$3:C32,C32))</f>
        <v>1</v>
      </c>
      <c r="B32" s="146" t="s">
        <v>280</v>
      </c>
      <c r="C32" s="70">
        <v>7</v>
      </c>
      <c r="D32" s="191">
        <v>22586</v>
      </c>
      <c r="E32" s="189">
        <f ca="1" t="shared" si="1"/>
        <v>54</v>
      </c>
      <c r="F32" s="73"/>
      <c r="G32" s="73"/>
      <c r="H32" s="73"/>
      <c r="I32" s="73"/>
      <c r="J32" s="73"/>
      <c r="K32" s="73"/>
      <c r="L32" s="73"/>
      <c r="M32" s="217"/>
      <c r="N32" s="73"/>
      <c r="O32" s="73"/>
      <c r="P32" s="73"/>
      <c r="Q32" s="73"/>
      <c r="R32" s="73"/>
      <c r="S32" s="73"/>
      <c r="T32" s="73"/>
      <c r="U32" s="73"/>
      <c r="V32" s="73"/>
      <c r="W32" s="72"/>
      <c r="X32" s="75">
        <f ca="1">IF(ROW()&gt;TS_UCV+3,"",OFFSET(MauTH!$A$11,C32,16))</f>
        <v>0</v>
      </c>
      <c r="Y32" s="192">
        <f ca="1">IF(ROW()&gt;TS_UCV+3,"",OFFSET(MauTH!$A$11,C32,19+COUNTIF($C$4:C32,C32))+DATEDIF(D32,NOW(),"D")/10^8)</f>
        <v>0.0001991</v>
      </c>
      <c r="Z32" s="76" t="e">
        <f t="shared" si="2"/>
        <v>#DIV/0!</v>
      </c>
      <c r="AA32" s="77" t="e">
        <f ca="1" t="shared" si="0"/>
        <v>#DIV/0!</v>
      </c>
      <c r="AB32" s="78" t="e">
        <f ca="1">IF(ROW()&gt;TS_UCV+3,"",IF(MAX(INDIRECT("$AA$"&amp;BB32&amp;":$AA$"&amp;BC32))&lt;VLOOKUP(C32,TTinDV!$A$6:$D$14,4),"Thiếu",AA32))</f>
        <v>#DIV/0!</v>
      </c>
      <c r="BB32" s="1">
        <f t="shared" si="3"/>
        <v>32</v>
      </c>
      <c r="BC32">
        <f ca="1">OFFSET(TTinDV!$E$4,MATCH(DSUCV!C32,TTinDV!$A$5:$A$60,),)+BB32-1</f>
        <v>38</v>
      </c>
    </row>
    <row r="33" spans="1:55" ht="15.75">
      <c r="A33" s="69">
        <f>IF(OR(ROW()&gt;BC33,B33=""),"",COUNTIF($C$3:C33,C33))</f>
        <v>2</v>
      </c>
      <c r="B33" s="146" t="s">
        <v>281</v>
      </c>
      <c r="C33" s="70">
        <v>7</v>
      </c>
      <c r="D33" s="191">
        <v>23224</v>
      </c>
      <c r="E33" s="189">
        <f ca="1" t="shared" si="1"/>
        <v>52</v>
      </c>
      <c r="F33" s="73"/>
      <c r="G33" s="73"/>
      <c r="H33" s="73"/>
      <c r="I33" s="73"/>
      <c r="J33" s="218"/>
      <c r="K33" s="73"/>
      <c r="L33" s="73"/>
      <c r="M33" s="217"/>
      <c r="N33" s="73"/>
      <c r="O33" s="73"/>
      <c r="P33" s="73"/>
      <c r="Q33" s="73"/>
      <c r="R33" s="73"/>
      <c r="S33" s="73"/>
      <c r="T33" s="73"/>
      <c r="U33" s="73"/>
      <c r="V33" s="73"/>
      <c r="W33" s="72"/>
      <c r="X33" s="75">
        <f ca="1">IF(ROW()&gt;TS_UCV+3,"",OFFSET(MauTH!$A$11,C33,16))</f>
        <v>0</v>
      </c>
      <c r="Y33" s="192">
        <f ca="1">IF(ROW()&gt;TS_UCV+3,"",OFFSET(MauTH!$A$11,C33,19+COUNTIF($C$4:C33,C33))+DATEDIF(D33,NOW(),"D")/10^8)</f>
        <v>0.00019272</v>
      </c>
      <c r="Z33" s="76" t="e">
        <f t="shared" si="2"/>
        <v>#DIV/0!</v>
      </c>
      <c r="AA33" s="77" t="e">
        <f ca="1" t="shared" si="0"/>
        <v>#DIV/0!</v>
      </c>
      <c r="AB33" s="78" t="e">
        <f ca="1">IF(ROW()&gt;TS_UCV+3,"",IF(MAX(INDIRECT("$AA$"&amp;BB33&amp;":$AA$"&amp;BC33))&lt;VLOOKUP(C33,TTinDV!$A$6:$D$14,4),"Thiếu",AA33))</f>
        <v>#DIV/0!</v>
      </c>
      <c r="BB33" s="1">
        <f t="shared" si="3"/>
        <v>32</v>
      </c>
      <c r="BC33">
        <f ca="1">OFFSET(TTinDV!$E$4,MATCH(DSUCV!C33,TTinDV!$A$5:$A$60,),)+BB33-1</f>
        <v>38</v>
      </c>
    </row>
    <row r="34" spans="1:55" ht="15.75">
      <c r="A34" s="69">
        <f>IF(OR(ROW()&gt;BC34,B34=""),"",COUNTIF($C$3:C34,C34))</f>
        <v>3</v>
      </c>
      <c r="B34" s="146" t="s">
        <v>282</v>
      </c>
      <c r="C34" s="70">
        <v>7</v>
      </c>
      <c r="D34" s="191">
        <v>21610</v>
      </c>
      <c r="E34" s="189">
        <f ca="1" t="shared" si="1"/>
        <v>57</v>
      </c>
      <c r="F34" s="73"/>
      <c r="G34" s="73"/>
      <c r="H34" s="73"/>
      <c r="I34" s="73"/>
      <c r="J34" s="73"/>
      <c r="K34" s="73"/>
      <c r="L34" s="73"/>
      <c r="M34" s="217"/>
      <c r="N34" s="73"/>
      <c r="O34" s="73"/>
      <c r="P34" s="73"/>
      <c r="Q34" s="73"/>
      <c r="R34" s="73"/>
      <c r="S34" s="73"/>
      <c r="T34" s="73"/>
      <c r="U34" s="73"/>
      <c r="V34" s="73"/>
      <c r="W34" s="72"/>
      <c r="X34" s="75">
        <f ca="1">IF(ROW()&gt;TS_UCV+3,"",OFFSET(MauTH!$A$11,C34,16))</f>
        <v>0</v>
      </c>
      <c r="Y34" s="192">
        <f ca="1">IF(ROW()&gt;TS_UCV+3,"",OFFSET(MauTH!$A$11,C34,19+COUNTIF($C$4:C34,C34))+DATEDIF(D34,NOW(),"D")/10^8)</f>
        <v>0.00020886</v>
      </c>
      <c r="Z34" s="76" t="e">
        <f t="shared" si="2"/>
        <v>#DIV/0!</v>
      </c>
      <c r="AA34" s="77" t="e">
        <f ca="1" t="shared" si="0"/>
        <v>#DIV/0!</v>
      </c>
      <c r="AB34" s="78" t="e">
        <f ca="1">IF(ROW()&gt;TS_UCV+3,"",IF(MAX(INDIRECT("$AA$"&amp;BB34&amp;":$AA$"&amp;BC34))&lt;VLOOKUP(C34,TTinDV!$A$6:$D$14,4),"Thiếu",AA34))</f>
        <v>#DIV/0!</v>
      </c>
      <c r="BB34" s="1">
        <f t="shared" si="3"/>
        <v>32</v>
      </c>
      <c r="BC34">
        <f ca="1">OFFSET(TTinDV!$E$4,MATCH(DSUCV!C34,TTinDV!$A$5:$A$60,),)+BB34-1</f>
        <v>38</v>
      </c>
    </row>
    <row r="35" spans="1:55" ht="15.75">
      <c r="A35" s="69">
        <f>IF(OR(ROW()&gt;BC35,B35=""),"",COUNTIF($C$3:C35,C35))</f>
        <v>4</v>
      </c>
      <c r="B35" s="146" t="s">
        <v>283</v>
      </c>
      <c r="C35" s="70">
        <v>7</v>
      </c>
      <c r="D35" s="73"/>
      <c r="E35" s="189">
        <f ca="1" t="shared" si="1"/>
        <v>0</v>
      </c>
      <c r="F35" s="73"/>
      <c r="G35" s="73"/>
      <c r="H35" s="73"/>
      <c r="I35" s="73"/>
      <c r="J35" s="73"/>
      <c r="K35" s="73"/>
      <c r="L35" s="73"/>
      <c r="M35" s="217"/>
      <c r="N35" s="73"/>
      <c r="O35" s="73"/>
      <c r="P35" s="73"/>
      <c r="Q35" s="73"/>
      <c r="R35" s="73"/>
      <c r="S35" s="73"/>
      <c r="T35" s="73"/>
      <c r="U35" s="73"/>
      <c r="V35" s="73"/>
      <c r="W35" s="72"/>
      <c r="X35" s="75">
        <f ca="1">IF(ROW()&gt;TS_UCV+3,"",OFFSET(MauTH!$A$11,C35,16))</f>
        <v>0</v>
      </c>
      <c r="Y35" s="192">
        <f ca="1">IF(ROW()&gt;TS_UCV+3,"",OFFSET(MauTH!$A$11,C35,19+COUNTIF($C$4:C35,C35))+DATEDIF(D35,NOW(),"D")/10^8)</f>
        <v>0.00042496</v>
      </c>
      <c r="Z35" s="76" t="e">
        <f t="shared" si="2"/>
        <v>#DIV/0!</v>
      </c>
      <c r="AA35" s="77" t="e">
        <f ca="1" t="shared" si="0"/>
        <v>#DIV/0!</v>
      </c>
      <c r="AB35" s="78" t="e">
        <f ca="1">IF(ROW()&gt;TS_UCV+3,"",IF(MAX(INDIRECT("$AA$"&amp;BB35&amp;":$AA$"&amp;BC35))&lt;VLOOKUP(C35,TTinDV!$A$6:$D$14,4),"Thiếu",AA35))</f>
        <v>#DIV/0!</v>
      </c>
      <c r="BB35" s="1">
        <f t="shared" si="3"/>
        <v>32</v>
      </c>
      <c r="BC35">
        <f ca="1">OFFSET(TTinDV!$E$4,MATCH(DSUCV!C35,TTinDV!$A$5:$A$60,),)+BB35-1</f>
        <v>38</v>
      </c>
    </row>
    <row r="36" spans="1:55" ht="15.75">
      <c r="A36" s="69">
        <f>IF(OR(ROW()&gt;BC36,B36=""),"",COUNTIF($C$3:C36,C36))</f>
        <v>5</v>
      </c>
      <c r="B36" s="146" t="s">
        <v>284</v>
      </c>
      <c r="C36" s="70">
        <v>7</v>
      </c>
      <c r="D36" s="73"/>
      <c r="E36" s="189">
        <f ca="1" t="shared" si="1"/>
        <v>0</v>
      </c>
      <c r="F36" s="73"/>
      <c r="G36" s="73"/>
      <c r="H36" s="73"/>
      <c r="I36" s="73"/>
      <c r="J36" s="73"/>
      <c r="K36" s="73"/>
      <c r="L36" s="73"/>
      <c r="M36" s="217"/>
      <c r="N36" s="73"/>
      <c r="O36" s="73"/>
      <c r="P36" s="73"/>
      <c r="Q36" s="73"/>
      <c r="R36" s="73"/>
      <c r="S36" s="73"/>
      <c r="T36" s="73"/>
      <c r="U36" s="73"/>
      <c r="V36" s="73"/>
      <c r="W36" s="72"/>
      <c r="X36" s="75">
        <f ca="1">IF(ROW()&gt;TS_UCV+3,"",OFFSET(MauTH!$A$11,C36,16))</f>
        <v>0</v>
      </c>
      <c r="Y36" s="192">
        <f ca="1">IF(ROW()&gt;TS_UCV+3,"",OFFSET(MauTH!$A$11,C36,19+COUNTIF($C$4:C36,C36))+DATEDIF(D36,NOW(),"D")/10^8)</f>
        <v>0.00042496</v>
      </c>
      <c r="Z36" s="76" t="e">
        <f t="shared" si="2"/>
        <v>#DIV/0!</v>
      </c>
      <c r="AA36" s="77" t="e">
        <f aca="true" ca="1" t="shared" si="4" ref="AA36:AA61">IF(ROW()&gt;TS_UCV+3,"",IF(Z36&gt;0.5,RANK(Y36,INDIRECT("$y$"&amp;BB36&amp;":$y$"&amp;BC36),),""))</f>
        <v>#DIV/0!</v>
      </c>
      <c r="AB36" s="78" t="e">
        <f ca="1">IF(ROW()&gt;TS_UCV+3,"",IF(MAX(INDIRECT("$AA$"&amp;BB36&amp;":$AA$"&amp;BC36))&lt;VLOOKUP(C36,TTinDV!$A$6:$D$14,4),"Thiếu",AA36))</f>
        <v>#DIV/0!</v>
      </c>
      <c r="BB36" s="1">
        <f t="shared" si="3"/>
        <v>32</v>
      </c>
      <c r="BC36">
        <f ca="1">OFFSET(TTinDV!$E$4,MATCH(DSUCV!C36,TTinDV!$A$5:$A$60,),)+BB36-1</f>
        <v>38</v>
      </c>
    </row>
    <row r="37" spans="1:55" ht="15.75">
      <c r="A37" s="69">
        <f>IF(OR(ROW()&gt;BC37,B37=""),"",COUNTIF($C$3:C37,C37))</f>
        <v>6</v>
      </c>
      <c r="B37" s="146" t="s">
        <v>285</v>
      </c>
      <c r="C37" s="70">
        <v>7</v>
      </c>
      <c r="D37" s="73"/>
      <c r="E37" s="189">
        <f ca="1" t="shared" si="1"/>
        <v>0</v>
      </c>
      <c r="F37" s="73"/>
      <c r="G37" s="73"/>
      <c r="H37" s="73"/>
      <c r="I37" s="73"/>
      <c r="J37" s="73"/>
      <c r="K37" s="73"/>
      <c r="L37" s="73"/>
      <c r="M37" s="217"/>
      <c r="N37" s="73"/>
      <c r="O37" s="73"/>
      <c r="P37" s="73"/>
      <c r="Q37" s="73"/>
      <c r="R37" s="73"/>
      <c r="S37" s="73"/>
      <c r="T37" s="73"/>
      <c r="U37" s="73"/>
      <c r="V37" s="73"/>
      <c r="W37" s="72"/>
      <c r="X37" s="75">
        <f ca="1">IF(ROW()&gt;TS_UCV+3,"",OFFSET(MauTH!$A$11,C37,16))</f>
        <v>0</v>
      </c>
      <c r="Y37" s="192">
        <f ca="1">IF(ROW()&gt;TS_UCV+3,"",OFFSET(MauTH!$A$11,C37,19+COUNTIF($C$4:C37,C37))+DATEDIF(D37,NOW(),"D")/10^8)</f>
        <v>0.00042496</v>
      </c>
      <c r="Z37" s="76" t="e">
        <f t="shared" si="2"/>
        <v>#DIV/0!</v>
      </c>
      <c r="AA37" s="77" t="e">
        <f ca="1" t="shared" si="4"/>
        <v>#DIV/0!</v>
      </c>
      <c r="AB37" s="78" t="e">
        <f ca="1">IF(ROW()&gt;TS_UCV+3,"",IF(MAX(INDIRECT("$AA$"&amp;BB37&amp;":$AA$"&amp;BC37))&lt;VLOOKUP(C37,TTinDV!$A$6:$D$14,4),"Thiếu",AA37))</f>
        <v>#DIV/0!</v>
      </c>
      <c r="BB37" s="1">
        <f t="shared" si="3"/>
        <v>32</v>
      </c>
      <c r="BC37">
        <f ca="1">OFFSET(TTinDV!$E$4,MATCH(DSUCV!C37,TTinDV!$A$5:$A$60,),)+BB37-1</f>
        <v>38</v>
      </c>
    </row>
    <row r="38" spans="1:55" ht="15.75">
      <c r="A38" s="69">
        <f>IF(OR(ROW()&gt;BC38,B38=""),"",COUNTIF($C$3:C38,C38))</f>
        <v>7</v>
      </c>
      <c r="B38" s="146" t="s">
        <v>286</v>
      </c>
      <c r="C38" s="70">
        <v>7</v>
      </c>
      <c r="D38" s="73"/>
      <c r="E38" s="189">
        <f ca="1" t="shared" si="1"/>
        <v>0</v>
      </c>
      <c r="F38" s="73"/>
      <c r="G38" s="73"/>
      <c r="H38" s="73"/>
      <c r="I38" s="73"/>
      <c r="J38" s="73"/>
      <c r="K38" s="73"/>
      <c r="L38" s="73"/>
      <c r="M38" s="217"/>
      <c r="N38" s="73"/>
      <c r="O38" s="73"/>
      <c r="P38" s="73"/>
      <c r="Q38" s="73"/>
      <c r="R38" s="73"/>
      <c r="S38" s="73"/>
      <c r="T38" s="73"/>
      <c r="U38" s="73"/>
      <c r="V38" s="73"/>
      <c r="W38" s="72"/>
      <c r="X38" s="75">
        <f ca="1">IF(ROW()&gt;TS_UCV+3,"",OFFSET(MauTH!$A$11,C38,16))</f>
        <v>0</v>
      </c>
      <c r="Y38" s="192">
        <f ca="1">IF(ROW()&gt;TS_UCV+3,"",OFFSET(MauTH!$A$11,C38,19+COUNTIF($C$4:C38,C38))+DATEDIF(D38,NOW(),"D")/10^8)</f>
        <v>0.00042496</v>
      </c>
      <c r="Z38" s="76" t="e">
        <f t="shared" si="2"/>
        <v>#DIV/0!</v>
      </c>
      <c r="AA38" s="77" t="e">
        <f ca="1" t="shared" si="4"/>
        <v>#DIV/0!</v>
      </c>
      <c r="AB38" s="78" t="e">
        <f ca="1">IF(ROW()&gt;TS_UCV+3,"",IF(MAX(INDIRECT("$AA$"&amp;BB38&amp;":$AA$"&amp;BC38))&lt;VLOOKUP(C38,TTinDV!$A$6:$D$14,4),"Thiếu",AA38))</f>
        <v>#DIV/0!</v>
      </c>
      <c r="BB38" s="1">
        <f t="shared" si="3"/>
        <v>32</v>
      </c>
      <c r="BC38">
        <f ca="1">OFFSET(TTinDV!$E$4,MATCH(DSUCV!C38,TTinDV!$A$5:$A$60,),)+BB38-1</f>
        <v>38</v>
      </c>
    </row>
    <row r="39" spans="1:55" ht="15.75">
      <c r="A39" s="69">
        <f>IF(OR(ROW()&gt;BC39,B39=""),"",COUNTIF($C$3:C39,C39))</f>
        <v>1</v>
      </c>
      <c r="B39" s="146" t="s">
        <v>287</v>
      </c>
      <c r="C39" s="70">
        <v>8</v>
      </c>
      <c r="D39" s="73"/>
      <c r="E39" s="189">
        <f ca="1" t="shared" si="1"/>
        <v>0</v>
      </c>
      <c r="F39" s="73"/>
      <c r="G39" s="73"/>
      <c r="H39" s="73"/>
      <c r="I39" s="73"/>
      <c r="J39" s="73"/>
      <c r="K39" s="73"/>
      <c r="L39" s="73"/>
      <c r="M39" s="217"/>
      <c r="N39" s="73"/>
      <c r="O39" s="73"/>
      <c r="P39" s="73"/>
      <c r="Q39" s="73"/>
      <c r="R39" s="73"/>
      <c r="S39" s="73"/>
      <c r="T39" s="73"/>
      <c r="U39" s="73"/>
      <c r="V39" s="73"/>
      <c r="W39" s="72"/>
      <c r="X39" s="75">
        <f ca="1">IF(ROW()&gt;TS_UCV+3,"",OFFSET(MauTH!$A$11,C39,16))</f>
        <v>0</v>
      </c>
      <c r="Y39" s="192">
        <f ca="1">IF(ROW()&gt;TS_UCV+3,"",OFFSET(MauTH!$A$11,C39,19+COUNTIF($C$4:C39,C39))+DATEDIF(D39,NOW(),"D")/10^8)</f>
        <v>0.00042496</v>
      </c>
      <c r="Z39" s="76" t="e">
        <f t="shared" si="2"/>
        <v>#DIV/0!</v>
      </c>
      <c r="AA39" s="77" t="e">
        <f ca="1" t="shared" si="4"/>
        <v>#DIV/0!</v>
      </c>
      <c r="AB39" s="78" t="e">
        <f ca="1">IF(ROW()&gt;TS_UCV+3,"",IF(MAX(INDIRECT("$AA$"&amp;BB39&amp;":$AA$"&amp;BC39))&lt;VLOOKUP(C39,TTinDV!$A$6:$D$14,4),"Thiếu",AA39))</f>
        <v>#DIV/0!</v>
      </c>
      <c r="BB39" s="1">
        <f t="shared" si="3"/>
        <v>39</v>
      </c>
      <c r="BC39">
        <f ca="1">OFFSET(TTinDV!$E$4,MATCH(DSUCV!C39,TTinDV!$A$5:$A$60,),)+BB39-1</f>
        <v>43</v>
      </c>
    </row>
    <row r="40" spans="1:55" ht="15.75">
      <c r="A40" s="69">
        <f>IF(OR(ROW()&gt;BC40,B40=""),"",COUNTIF($C$3:C40,C40))</f>
        <v>2</v>
      </c>
      <c r="B40" s="146" t="s">
        <v>288</v>
      </c>
      <c r="C40" s="70">
        <v>8</v>
      </c>
      <c r="D40" s="73"/>
      <c r="E40" s="189">
        <f ca="1" t="shared" si="1"/>
        <v>0</v>
      </c>
      <c r="F40" s="73"/>
      <c r="G40" s="73"/>
      <c r="H40" s="73"/>
      <c r="I40" s="73"/>
      <c r="J40" s="73"/>
      <c r="K40" s="73"/>
      <c r="L40" s="73"/>
      <c r="M40" s="217"/>
      <c r="N40" s="73"/>
      <c r="O40" s="73"/>
      <c r="P40" s="73"/>
      <c r="Q40" s="73"/>
      <c r="R40" s="73"/>
      <c r="S40" s="73"/>
      <c r="T40" s="73"/>
      <c r="U40" s="73"/>
      <c r="V40" s="73"/>
      <c r="W40" s="72"/>
      <c r="X40" s="75">
        <f ca="1">IF(ROW()&gt;TS_UCV+3,"",OFFSET(MauTH!$A$11,C40,16))</f>
        <v>0</v>
      </c>
      <c r="Y40" s="192">
        <f ca="1">IF(ROW()&gt;TS_UCV+3,"",OFFSET(MauTH!$A$11,C40,19+COUNTIF($C$4:C40,C40))+DATEDIF(D40,NOW(),"D")/10^8)</f>
        <v>0.00042496</v>
      </c>
      <c r="Z40" s="76" t="e">
        <f t="shared" si="2"/>
        <v>#DIV/0!</v>
      </c>
      <c r="AA40" s="77" t="e">
        <f ca="1" t="shared" si="4"/>
        <v>#DIV/0!</v>
      </c>
      <c r="AB40" s="78" t="e">
        <f ca="1">IF(ROW()&gt;TS_UCV+3,"",IF(MAX(INDIRECT("$AA$"&amp;BB40&amp;":$AA$"&amp;BC40))&lt;VLOOKUP(C40,TTinDV!$A$6:$D$14,4),"Thiếu",AA40))</f>
        <v>#DIV/0!</v>
      </c>
      <c r="BB40" s="1">
        <f t="shared" si="3"/>
        <v>39</v>
      </c>
      <c r="BC40">
        <f ca="1">OFFSET(TTinDV!$E$4,MATCH(DSUCV!C40,TTinDV!$A$5:$A$60,),)+BB40-1</f>
        <v>43</v>
      </c>
    </row>
    <row r="41" spans="1:55" ht="15.75">
      <c r="A41" s="69">
        <f>IF(OR(ROW()&gt;BC41,B41=""),"",COUNTIF($C$3:C41,C41))</f>
        <v>3</v>
      </c>
      <c r="B41" s="146" t="s">
        <v>289</v>
      </c>
      <c r="C41" s="70">
        <v>8</v>
      </c>
      <c r="D41" s="73"/>
      <c r="E41" s="189">
        <f ca="1" t="shared" si="1"/>
        <v>0</v>
      </c>
      <c r="F41" s="73"/>
      <c r="G41" s="73"/>
      <c r="H41" s="73"/>
      <c r="I41" s="73"/>
      <c r="J41" s="73"/>
      <c r="K41" s="73"/>
      <c r="L41" s="73"/>
      <c r="M41" s="217"/>
      <c r="N41" s="73"/>
      <c r="O41" s="73"/>
      <c r="P41" s="73"/>
      <c r="Q41" s="73"/>
      <c r="R41" s="73"/>
      <c r="S41" s="73"/>
      <c r="T41" s="73"/>
      <c r="U41" s="73"/>
      <c r="V41" s="73"/>
      <c r="W41" s="72"/>
      <c r="X41" s="75">
        <f ca="1">IF(ROW()&gt;TS_UCV+3,"",OFFSET(MauTH!$A$11,C41,16))</f>
        <v>0</v>
      </c>
      <c r="Y41" s="192">
        <f ca="1">IF(ROW()&gt;TS_UCV+3,"",OFFSET(MauTH!$A$11,C41,19+COUNTIF($C$4:C41,C41))+DATEDIF(D41,NOW(),"D")/10^8)</f>
        <v>0.00042496</v>
      </c>
      <c r="Z41" s="76" t="e">
        <f t="shared" si="2"/>
        <v>#DIV/0!</v>
      </c>
      <c r="AA41" s="77" t="e">
        <f ca="1" t="shared" si="4"/>
        <v>#DIV/0!</v>
      </c>
      <c r="AB41" s="78" t="e">
        <f ca="1">IF(ROW()&gt;TS_UCV+3,"",IF(MAX(INDIRECT("$AA$"&amp;BB41&amp;":$AA$"&amp;BC41))&lt;VLOOKUP(C41,TTinDV!$A$6:$D$14,4),"Thiếu",AA41))</f>
        <v>#DIV/0!</v>
      </c>
      <c r="BB41" s="1">
        <f t="shared" si="3"/>
        <v>39</v>
      </c>
      <c r="BC41">
        <f ca="1">OFFSET(TTinDV!$E$4,MATCH(DSUCV!C41,TTinDV!$A$5:$A$60,),)+BB41-1</f>
        <v>43</v>
      </c>
    </row>
    <row r="42" spans="1:55" ht="15.75">
      <c r="A42" s="69">
        <f>IF(OR(ROW()&gt;BC42,B42=""),"",COUNTIF($C$3:C42,C42))</f>
        <v>4</v>
      </c>
      <c r="B42" s="146" t="s">
        <v>290</v>
      </c>
      <c r="C42" s="70">
        <v>8</v>
      </c>
      <c r="D42" s="73"/>
      <c r="E42" s="189">
        <f ca="1" t="shared" si="1"/>
        <v>0</v>
      </c>
      <c r="F42" s="73"/>
      <c r="G42" s="73"/>
      <c r="H42" s="73"/>
      <c r="I42" s="73"/>
      <c r="J42" s="73"/>
      <c r="K42" s="73"/>
      <c r="L42" s="73"/>
      <c r="M42" s="217"/>
      <c r="N42" s="73"/>
      <c r="O42" s="73"/>
      <c r="P42" s="73"/>
      <c r="Q42" s="73"/>
      <c r="R42" s="73"/>
      <c r="S42" s="73"/>
      <c r="T42" s="73"/>
      <c r="U42" s="73"/>
      <c r="V42" s="73"/>
      <c r="W42" s="72"/>
      <c r="X42" s="75">
        <f ca="1">IF(ROW()&gt;TS_UCV+3,"",OFFSET(MauTH!$A$11,C42,16))</f>
        <v>0</v>
      </c>
      <c r="Y42" s="192">
        <f ca="1">IF(ROW()&gt;TS_UCV+3,"",OFFSET(MauTH!$A$11,C42,19+COUNTIF($C$4:C42,C42))+DATEDIF(D42,NOW(),"D")/10^8)</f>
        <v>0.00042496</v>
      </c>
      <c r="Z42" s="76" t="e">
        <f t="shared" si="2"/>
        <v>#DIV/0!</v>
      </c>
      <c r="AA42" s="77" t="e">
        <f ca="1" t="shared" si="4"/>
        <v>#DIV/0!</v>
      </c>
      <c r="AB42" s="78" t="e">
        <f ca="1">IF(ROW()&gt;TS_UCV+3,"",IF(MAX(INDIRECT("$AA$"&amp;BB42&amp;":$AA$"&amp;BC42))&lt;VLOOKUP(C42,TTinDV!$A$6:$D$14,4),"Thiếu",AA42))</f>
        <v>#DIV/0!</v>
      </c>
      <c r="BB42" s="1">
        <f t="shared" si="3"/>
        <v>39</v>
      </c>
      <c r="BC42">
        <f ca="1">OFFSET(TTinDV!$E$4,MATCH(DSUCV!C42,TTinDV!$A$5:$A$60,),)+BB42-1</f>
        <v>43</v>
      </c>
    </row>
    <row r="43" spans="1:55" ht="15.75">
      <c r="A43" s="69">
        <f>IF(OR(ROW()&gt;BC43,B43=""),"",COUNTIF($C$3:C43,C43))</f>
        <v>5</v>
      </c>
      <c r="B43" s="146" t="s">
        <v>291</v>
      </c>
      <c r="C43" s="70">
        <v>8</v>
      </c>
      <c r="D43" s="73"/>
      <c r="E43" s="189">
        <f ca="1" t="shared" si="1"/>
        <v>0</v>
      </c>
      <c r="F43" s="73"/>
      <c r="G43" s="73"/>
      <c r="H43" s="73"/>
      <c r="I43" s="73"/>
      <c r="J43" s="73"/>
      <c r="K43" s="73"/>
      <c r="L43" s="73"/>
      <c r="M43" s="217"/>
      <c r="N43" s="73"/>
      <c r="O43" s="73"/>
      <c r="P43" s="73"/>
      <c r="Q43" s="73"/>
      <c r="R43" s="73"/>
      <c r="S43" s="73"/>
      <c r="T43" s="73"/>
      <c r="U43" s="73"/>
      <c r="V43" s="73"/>
      <c r="W43" s="72"/>
      <c r="X43" s="75">
        <f ca="1">IF(ROW()&gt;TS_UCV+3,"",OFFSET(MauTH!$A$11,C43,16))</f>
        <v>0</v>
      </c>
      <c r="Y43" s="192">
        <f ca="1">IF(ROW()&gt;TS_UCV+3,"",OFFSET(MauTH!$A$11,C43,19+COUNTIF($C$4:C43,C43))+DATEDIF(D43,NOW(),"D")/10^8)</f>
        <v>0.00042496</v>
      </c>
      <c r="Z43" s="76" t="e">
        <f t="shared" si="2"/>
        <v>#DIV/0!</v>
      </c>
      <c r="AA43" s="77" t="e">
        <f ca="1" t="shared" si="4"/>
        <v>#DIV/0!</v>
      </c>
      <c r="AB43" s="78" t="e">
        <f ca="1">IF(ROW()&gt;TS_UCV+3,"",IF(MAX(INDIRECT("$AA$"&amp;BB43&amp;":$AA$"&amp;BC43))&lt;VLOOKUP(C43,TTinDV!$A$6:$D$14,4),"Thiếu",AA43))</f>
        <v>#DIV/0!</v>
      </c>
      <c r="BB43" s="1">
        <f t="shared" si="3"/>
        <v>39</v>
      </c>
      <c r="BC43">
        <f ca="1">OFFSET(TTinDV!$E$4,MATCH(DSUCV!C43,TTinDV!$A$5:$A$60,),)+BB43-1</f>
        <v>43</v>
      </c>
    </row>
    <row r="44" spans="1:55" ht="15.75">
      <c r="A44" s="69">
        <f>IF(OR(ROW()&gt;BC44,B44=""),"",COUNTIF($C$3:C44,C44))</f>
        <v>1</v>
      </c>
      <c r="B44" s="146" t="s">
        <v>292</v>
      </c>
      <c r="C44" s="70">
        <v>9</v>
      </c>
      <c r="D44" s="73"/>
      <c r="E44" s="189">
        <f ca="1" t="shared" si="1"/>
        <v>0</v>
      </c>
      <c r="F44" s="73"/>
      <c r="G44" s="73"/>
      <c r="H44" s="73"/>
      <c r="I44" s="73"/>
      <c r="J44" s="73"/>
      <c r="K44" s="73"/>
      <c r="L44" s="73"/>
      <c r="M44" s="217"/>
      <c r="N44" s="73"/>
      <c r="O44" s="73"/>
      <c r="P44" s="73"/>
      <c r="Q44" s="73"/>
      <c r="R44" s="73"/>
      <c r="S44" s="73"/>
      <c r="T44" s="73"/>
      <c r="U44" s="73"/>
      <c r="V44" s="73"/>
      <c r="W44" s="72"/>
      <c r="X44" s="75">
        <f ca="1">IF(ROW()&gt;TS_UCV+3,"",OFFSET(MauTH!$A$11,C44,16))</f>
        <v>0</v>
      </c>
      <c r="Y44" s="192">
        <f ca="1">IF(ROW()&gt;TS_UCV+3,"",OFFSET(MauTH!$A$11,C44,19+COUNTIF($C$4:C44,C44))+DATEDIF(D44,NOW(),"D")/10^8)</f>
        <v>0.00042496</v>
      </c>
      <c r="Z44" s="76" t="e">
        <f t="shared" si="2"/>
        <v>#DIV/0!</v>
      </c>
      <c r="AA44" s="77" t="e">
        <f ca="1" t="shared" si="4"/>
        <v>#DIV/0!</v>
      </c>
      <c r="AB44" s="78" t="e">
        <f ca="1">IF(ROW()&gt;TS_UCV+3,"",IF(MAX(INDIRECT("$AA$"&amp;BB44&amp;":$AA$"&amp;BC44))&lt;VLOOKUP(C44,TTinDV!$A$6:$D$14,4),"Thiếu",AA44))</f>
        <v>#DIV/0!</v>
      </c>
      <c r="BB44" s="1">
        <f t="shared" si="3"/>
        <v>44</v>
      </c>
      <c r="BC44">
        <f ca="1">OFFSET(TTinDV!$E$4,MATCH(DSUCV!C44,TTinDV!$A$5:$A$60,),)+BB44-1</f>
        <v>88</v>
      </c>
    </row>
    <row r="45" spans="1:55" ht="15.75">
      <c r="A45" s="69">
        <f>IF(OR(ROW()&gt;BC45,B45=""),"",COUNTIF($C$3:C45,C45))</f>
        <v>2</v>
      </c>
      <c r="B45" s="146" t="s">
        <v>293</v>
      </c>
      <c r="C45" s="70">
        <v>9</v>
      </c>
      <c r="D45" s="73"/>
      <c r="E45" s="189">
        <f ca="1" t="shared" si="1"/>
        <v>0</v>
      </c>
      <c r="F45" s="73"/>
      <c r="G45" s="73"/>
      <c r="H45" s="73"/>
      <c r="I45" s="73"/>
      <c r="J45" s="73"/>
      <c r="K45" s="73"/>
      <c r="L45" s="73"/>
      <c r="M45" s="217"/>
      <c r="N45" s="73"/>
      <c r="O45" s="73"/>
      <c r="P45" s="73"/>
      <c r="Q45" s="73"/>
      <c r="R45" s="73"/>
      <c r="S45" s="73"/>
      <c r="T45" s="73"/>
      <c r="U45" s="73"/>
      <c r="V45" s="73"/>
      <c r="W45" s="72"/>
      <c r="X45" s="75">
        <f ca="1">IF(ROW()&gt;TS_UCV+3,"",OFFSET(MauTH!$A$11,C45,16))</f>
        <v>0</v>
      </c>
      <c r="Y45" s="192">
        <f ca="1">IF(ROW()&gt;TS_UCV+3,"",OFFSET(MauTH!$A$11,C45,19+COUNTIF($C$4:C45,C45))+DATEDIF(D45,NOW(),"D")/10^8)</f>
        <v>0.00042496</v>
      </c>
      <c r="Z45" s="76" t="e">
        <f t="shared" si="2"/>
        <v>#DIV/0!</v>
      </c>
      <c r="AA45" s="77" t="e">
        <f ca="1" t="shared" si="4"/>
        <v>#DIV/0!</v>
      </c>
      <c r="AB45" s="78" t="e">
        <f ca="1">IF(ROW()&gt;TS_UCV+3,"",IF(MAX(INDIRECT("$AA$"&amp;BB45&amp;":$AA$"&amp;BC45))&lt;VLOOKUP(C45,TTinDV!$A$6:$D$14,4),"Thiếu",AA45))</f>
        <v>#DIV/0!</v>
      </c>
      <c r="BB45" s="1">
        <f t="shared" si="3"/>
        <v>44</v>
      </c>
      <c r="BC45">
        <f ca="1">OFFSET(TTinDV!$E$4,MATCH(DSUCV!C45,TTinDV!$A$5:$A$60,),)+BB45-1</f>
        <v>88</v>
      </c>
    </row>
    <row r="46" spans="1:55" ht="15.75">
      <c r="A46" s="69">
        <f>IF(OR(ROW()&gt;BC46,B46=""),"",COUNTIF($C$3:C46,C46))</f>
        <v>3</v>
      </c>
      <c r="B46" s="146" t="s">
        <v>294</v>
      </c>
      <c r="C46" s="70">
        <v>9</v>
      </c>
      <c r="D46" s="73"/>
      <c r="E46" s="189">
        <f ca="1" t="shared" si="1"/>
        <v>0</v>
      </c>
      <c r="F46" s="73"/>
      <c r="G46" s="73"/>
      <c r="H46" s="73"/>
      <c r="I46" s="73"/>
      <c r="J46" s="73"/>
      <c r="K46" s="73"/>
      <c r="L46" s="73"/>
      <c r="M46" s="217"/>
      <c r="N46" s="73"/>
      <c r="O46" s="73"/>
      <c r="P46" s="73"/>
      <c r="Q46" s="73"/>
      <c r="R46" s="73"/>
      <c r="S46" s="73"/>
      <c r="T46" s="73"/>
      <c r="U46" s="73"/>
      <c r="V46" s="73"/>
      <c r="W46" s="72"/>
      <c r="X46" s="75">
        <f ca="1">IF(ROW()&gt;TS_UCV+3,"",OFFSET(MauTH!$A$11,C46,16))</f>
        <v>0</v>
      </c>
      <c r="Y46" s="192">
        <f ca="1">IF(ROW()&gt;TS_UCV+3,"",OFFSET(MauTH!$A$11,C46,19+COUNTIF($C$4:C46,C46))+DATEDIF(D46,NOW(),"D")/10^8)</f>
        <v>0.00042496</v>
      </c>
      <c r="Z46" s="76" t="e">
        <f t="shared" si="2"/>
        <v>#DIV/0!</v>
      </c>
      <c r="AA46" s="77" t="e">
        <f ca="1" t="shared" si="4"/>
        <v>#DIV/0!</v>
      </c>
      <c r="AB46" s="78" t="e">
        <f ca="1">IF(ROW()&gt;TS_UCV+3,"",IF(MAX(INDIRECT("$AA$"&amp;BB46&amp;":$AA$"&amp;BC46))&lt;VLOOKUP(C46,TTinDV!$A$6:$D$14,4),"Thiếu",AA46))</f>
        <v>#DIV/0!</v>
      </c>
      <c r="BB46" s="1">
        <f t="shared" si="3"/>
        <v>44</v>
      </c>
      <c r="BC46">
        <f ca="1">OFFSET(TTinDV!$E$4,MATCH(DSUCV!C46,TTinDV!$A$5:$A$60,),)+BB46-1</f>
        <v>88</v>
      </c>
    </row>
    <row r="47" spans="1:55" ht="15.75">
      <c r="A47" s="69">
        <f>IF(OR(ROW()&gt;BC47,B47=""),"",COUNTIF($C$3:C47,C47))</f>
        <v>4</v>
      </c>
      <c r="B47" s="146" t="s">
        <v>295</v>
      </c>
      <c r="C47" s="70">
        <v>9</v>
      </c>
      <c r="D47" s="73"/>
      <c r="E47" s="189">
        <f ca="1" t="shared" si="1"/>
        <v>0</v>
      </c>
      <c r="F47" s="73"/>
      <c r="G47" s="73"/>
      <c r="H47" s="73"/>
      <c r="I47" s="73"/>
      <c r="J47" s="73"/>
      <c r="K47" s="73"/>
      <c r="L47" s="73"/>
      <c r="M47" s="217"/>
      <c r="N47" s="73"/>
      <c r="O47" s="73"/>
      <c r="P47" s="73"/>
      <c r="Q47" s="73"/>
      <c r="R47" s="73"/>
      <c r="S47" s="73"/>
      <c r="T47" s="73"/>
      <c r="U47" s="73"/>
      <c r="V47" s="73"/>
      <c r="W47" s="72"/>
      <c r="X47" s="75">
        <f ca="1">IF(ROW()&gt;TS_UCV+3,"",OFFSET(MauTH!$A$11,C47,16))</f>
        <v>0</v>
      </c>
      <c r="Y47" s="192">
        <f ca="1">IF(ROW()&gt;TS_UCV+3,"",OFFSET(MauTH!$A$11,C47,19+COUNTIF($C$4:C47,C47))+DATEDIF(D47,NOW(),"D")/10^8)</f>
        <v>0.00042496</v>
      </c>
      <c r="Z47" s="76" t="e">
        <f t="shared" si="2"/>
        <v>#DIV/0!</v>
      </c>
      <c r="AA47" s="77" t="e">
        <f ca="1" t="shared" si="4"/>
        <v>#DIV/0!</v>
      </c>
      <c r="AB47" s="78" t="e">
        <f ca="1">IF(ROW()&gt;TS_UCV+3,"",IF(MAX(INDIRECT("$AA$"&amp;BB47&amp;":$AA$"&amp;BC47))&lt;VLOOKUP(C47,TTinDV!$A$6:$D$14,4),"Thiếu",AA47))</f>
        <v>#DIV/0!</v>
      </c>
      <c r="BB47" s="1">
        <f t="shared" si="3"/>
        <v>44</v>
      </c>
      <c r="BC47">
        <f ca="1">OFFSET(TTinDV!$E$4,MATCH(DSUCV!C47,TTinDV!$A$5:$A$60,),)+BB47-1</f>
        <v>88</v>
      </c>
    </row>
    <row r="48" spans="1:55" ht="15.75">
      <c r="A48" s="69">
        <f>IF(OR(ROW()&gt;BC48,B48=""),"",COUNTIF($C$3:C48,C48))</f>
        <v>5</v>
      </c>
      <c r="B48" s="146" t="s">
        <v>296</v>
      </c>
      <c r="C48" s="70">
        <v>9</v>
      </c>
      <c r="D48" s="73"/>
      <c r="E48" s="189">
        <f ca="1" t="shared" si="1"/>
        <v>0</v>
      </c>
      <c r="F48" s="73"/>
      <c r="G48" s="73"/>
      <c r="H48" s="73"/>
      <c r="I48" s="73"/>
      <c r="J48" s="73"/>
      <c r="K48" s="73"/>
      <c r="L48" s="73"/>
      <c r="M48" s="217"/>
      <c r="N48" s="73"/>
      <c r="O48" s="73"/>
      <c r="P48" s="73"/>
      <c r="Q48" s="73"/>
      <c r="R48" s="73"/>
      <c r="S48" s="73"/>
      <c r="T48" s="73"/>
      <c r="U48" s="73"/>
      <c r="V48" s="73"/>
      <c r="W48" s="72"/>
      <c r="X48" s="75">
        <f ca="1">IF(ROW()&gt;TS_UCV+3,"",OFFSET(MauTH!$A$11,C48,16))</f>
        <v>0</v>
      </c>
      <c r="Y48" s="192">
        <f ca="1">IF(ROW()&gt;TS_UCV+3,"",OFFSET(MauTH!$A$11,C48,19+COUNTIF($C$4:C48,C48))+DATEDIF(D48,NOW(),"D")/10^8)</f>
        <v>0.00042496</v>
      </c>
      <c r="Z48" s="76" t="e">
        <f t="shared" si="2"/>
        <v>#DIV/0!</v>
      </c>
      <c r="AA48" s="77" t="e">
        <f ca="1" t="shared" si="4"/>
        <v>#DIV/0!</v>
      </c>
      <c r="AB48" s="78" t="e">
        <f ca="1">IF(ROW()&gt;TS_UCV+3,"",IF(MAX(INDIRECT("$AA$"&amp;BB48&amp;":$AA$"&amp;BC48))&lt;VLOOKUP(C48,TTinDV!$A$6:$D$14,4),"Thiếu",AA48))</f>
        <v>#DIV/0!</v>
      </c>
      <c r="BB48" s="1">
        <f t="shared" si="3"/>
        <v>44</v>
      </c>
      <c r="BC48">
        <f ca="1">OFFSET(TTinDV!$E$4,MATCH(DSUCV!C48,TTinDV!$A$5:$A$60,),)+BB48-1</f>
        <v>88</v>
      </c>
    </row>
    <row r="49" spans="1:55" ht="15.75">
      <c r="A49" s="69" t="e">
        <f>IF(OR(ROW()&gt;BC49,B49=""),"",COUNTIF($C$3:C49,C49))</f>
        <v>#N/A</v>
      </c>
      <c r="B49" s="146"/>
      <c r="C49" s="70"/>
      <c r="D49" s="73"/>
      <c r="E49" s="189">
        <f ca="1" t="shared" si="1"/>
        <v>0</v>
      </c>
      <c r="F49" s="73"/>
      <c r="G49" s="73"/>
      <c r="H49" s="73"/>
      <c r="I49" s="73"/>
      <c r="J49" s="73"/>
      <c r="K49" s="73"/>
      <c r="L49" s="73"/>
      <c r="M49" s="217"/>
      <c r="N49" s="73"/>
      <c r="O49" s="73"/>
      <c r="P49" s="73"/>
      <c r="Q49" s="73"/>
      <c r="R49" s="73"/>
      <c r="S49" s="73"/>
      <c r="T49" s="73"/>
      <c r="U49" s="73"/>
      <c r="V49" s="73"/>
      <c r="W49" s="72"/>
      <c r="X49" s="75">
        <f ca="1">IF(ROW()&gt;TS_UCV+3,"",OFFSET(MauTH!$A$11,C49,16))</f>
      </c>
      <c r="Y49" s="192">
        <f ca="1">IF(ROW()&gt;TS_UCV+3,"",OFFSET(MauTH!$A$11,C49,19+COUNTIF($C$4:C49,C49))+DATEDIF(D49,NOW(),"D")/10^8)</f>
      </c>
      <c r="Z49" s="76">
        <f t="shared" si="2"/>
      </c>
      <c r="AA49" s="77">
        <f ca="1" t="shared" si="4"/>
      </c>
      <c r="AB49" s="78">
        <f ca="1">IF(ROW()&gt;TS_UCV+3,"",IF(MAX(INDIRECT("$AA$"&amp;BB49&amp;":$AA$"&amp;BC49))&lt;VLOOKUP(C49,TTinDV!$A$6:$D$14,4),"Thiếu",AA49))</f>
      </c>
      <c r="BB49" s="1">
        <f t="shared" si="3"/>
        <v>89</v>
      </c>
      <c r="BC49" t="e">
        <f ca="1">OFFSET(TTinDV!$E$4,MATCH(DSUCV!C49,TTinDV!$A$5:$A$60,),)+BB49-1</f>
        <v>#N/A</v>
      </c>
    </row>
    <row r="50" spans="1:55" ht="15.75">
      <c r="A50" s="69" t="e">
        <f>IF(OR(ROW()&gt;BC50,B50=""),"",COUNTIF($C$3:C50,C50))</f>
        <v>#N/A</v>
      </c>
      <c r="B50" s="146"/>
      <c r="C50" s="70"/>
      <c r="D50" s="73"/>
      <c r="E50" s="189">
        <f ca="1" t="shared" si="1"/>
        <v>0</v>
      </c>
      <c r="F50" s="73"/>
      <c r="G50" s="73"/>
      <c r="H50" s="73"/>
      <c r="I50" s="73"/>
      <c r="J50" s="73"/>
      <c r="K50" s="73"/>
      <c r="L50" s="73"/>
      <c r="M50" s="217"/>
      <c r="N50" s="73"/>
      <c r="O50" s="73"/>
      <c r="P50" s="73"/>
      <c r="Q50" s="73"/>
      <c r="R50" s="73"/>
      <c r="S50" s="73"/>
      <c r="T50" s="73"/>
      <c r="U50" s="73"/>
      <c r="V50" s="73"/>
      <c r="W50" s="72"/>
      <c r="X50" s="75">
        <f ca="1">IF(ROW()&gt;TS_UCV+3,"",OFFSET(MauTH!$A$11,C50,16))</f>
      </c>
      <c r="Y50" s="192">
        <f ca="1">IF(ROW()&gt;TS_UCV+3,"",OFFSET(MauTH!$A$11,C50,19+COUNTIF($C$4:C50,C50))+DATEDIF(D50,NOW(),"D")/10^8)</f>
      </c>
      <c r="Z50" s="76">
        <f t="shared" si="2"/>
      </c>
      <c r="AA50" s="77">
        <f ca="1" t="shared" si="4"/>
      </c>
      <c r="AB50" s="78">
        <f ca="1">IF(ROW()&gt;TS_UCV+3,"",IF(MAX(INDIRECT("$AA$"&amp;BB50&amp;":$AA$"&amp;BC50))&lt;VLOOKUP(C50,TTinDV!$A$6:$D$14,4),"Thiếu",AA50))</f>
      </c>
      <c r="BB50" s="1">
        <f t="shared" si="3"/>
        <v>89</v>
      </c>
      <c r="BC50" t="e">
        <f ca="1">OFFSET(TTinDV!$E$4,MATCH(DSUCV!C50,TTinDV!$A$5:$A$60,),)+BB50-1</f>
        <v>#N/A</v>
      </c>
    </row>
    <row r="51" spans="1:55" ht="15.75">
      <c r="A51" s="69" t="e">
        <f>IF(OR(ROW()&gt;BC51,B51=""),"",COUNTIF($C$3:C51,C51))</f>
        <v>#N/A</v>
      </c>
      <c r="B51" s="146"/>
      <c r="C51" s="70"/>
      <c r="D51" s="73"/>
      <c r="E51" s="189">
        <f ca="1" t="shared" si="1"/>
        <v>0</v>
      </c>
      <c r="F51" s="73"/>
      <c r="G51" s="73"/>
      <c r="H51" s="73"/>
      <c r="I51" s="73"/>
      <c r="J51" s="73"/>
      <c r="K51" s="73"/>
      <c r="L51" s="73"/>
      <c r="M51" s="217"/>
      <c r="N51" s="73"/>
      <c r="O51" s="73"/>
      <c r="P51" s="73"/>
      <c r="Q51" s="73"/>
      <c r="R51" s="73"/>
      <c r="S51" s="73"/>
      <c r="T51" s="73"/>
      <c r="U51" s="73"/>
      <c r="V51" s="73"/>
      <c r="W51" s="72"/>
      <c r="X51" s="75"/>
      <c r="Y51" s="192"/>
      <c r="Z51" s="76"/>
      <c r="AA51" s="77"/>
      <c r="AB51" s="78">
        <f ca="1">IF(ROW()&gt;TS_UCV+3,"",IF(MAX(INDIRECT("$AA$"&amp;BB51&amp;":$AA$"&amp;BC51))&lt;VLOOKUP(C51,TTinDV!$A$6:$D$14,4),"Thiếu",AA51))</f>
      </c>
      <c r="BB51" s="1">
        <f t="shared" si="3"/>
        <v>89</v>
      </c>
      <c r="BC51" t="e">
        <f ca="1">OFFSET(TTinDV!$E$4,MATCH(DSUCV!C51,TTinDV!$A$5:$A$60,),)+BB51-1</f>
        <v>#N/A</v>
      </c>
    </row>
    <row r="52" spans="1:55" ht="15.75">
      <c r="A52" s="69" t="e">
        <f>IF(OR(ROW()&gt;BC52,B52=""),"",COUNTIF($C$3:C52,C52))</f>
        <v>#N/A</v>
      </c>
      <c r="B52" s="146"/>
      <c r="C52" s="70"/>
      <c r="D52" s="73"/>
      <c r="E52" s="189">
        <f ca="1" t="shared" si="1"/>
        <v>0</v>
      </c>
      <c r="F52" s="73"/>
      <c r="G52" s="73"/>
      <c r="H52" s="73"/>
      <c r="I52" s="73"/>
      <c r="J52" s="73"/>
      <c r="K52" s="73"/>
      <c r="L52" s="73"/>
      <c r="M52" s="217"/>
      <c r="N52" s="73"/>
      <c r="O52" s="73"/>
      <c r="P52" s="73"/>
      <c r="Q52" s="73"/>
      <c r="R52" s="73"/>
      <c r="S52" s="73"/>
      <c r="T52" s="73"/>
      <c r="U52" s="73"/>
      <c r="V52" s="73"/>
      <c r="W52" s="72"/>
      <c r="X52" s="75"/>
      <c r="Y52" s="192"/>
      <c r="Z52" s="76"/>
      <c r="AA52" s="77"/>
      <c r="AB52" s="78"/>
      <c r="BB52" s="1">
        <f t="shared" si="3"/>
        <v>89</v>
      </c>
      <c r="BC52" t="e">
        <f ca="1">OFFSET(TTinDV!$E$4,MATCH(DSUCV!C52,TTinDV!$A$5:$A$60,),)+BB52-1</f>
        <v>#N/A</v>
      </c>
    </row>
    <row r="53" spans="1:55" ht="15.75">
      <c r="A53" s="69" t="e">
        <f>IF(OR(ROW()&gt;BC53,B53=""),"",COUNTIF($C$3:C53,C53))</f>
        <v>#N/A</v>
      </c>
      <c r="B53" s="146"/>
      <c r="C53" s="70"/>
      <c r="D53" s="73"/>
      <c r="E53" s="189">
        <f ca="1" t="shared" si="1"/>
        <v>0</v>
      </c>
      <c r="F53" s="73"/>
      <c r="G53" s="73"/>
      <c r="H53" s="73"/>
      <c r="I53" s="73"/>
      <c r="J53" s="73"/>
      <c r="K53" s="73"/>
      <c r="L53" s="73"/>
      <c r="M53" s="217"/>
      <c r="N53" s="73"/>
      <c r="O53" s="73"/>
      <c r="P53" s="73"/>
      <c r="Q53" s="73"/>
      <c r="R53" s="73"/>
      <c r="S53" s="73"/>
      <c r="T53" s="73"/>
      <c r="U53" s="73"/>
      <c r="V53" s="73"/>
      <c r="W53" s="72"/>
      <c r="X53" s="75"/>
      <c r="Y53" s="192"/>
      <c r="Z53" s="76"/>
      <c r="AA53" s="77"/>
      <c r="AB53" s="78"/>
      <c r="BB53" s="1">
        <f t="shared" si="3"/>
        <v>89</v>
      </c>
      <c r="BC53" t="e">
        <f ca="1">OFFSET(TTinDV!$E$4,MATCH(DSUCV!C53,TTinDV!$A$5:$A$60,),)+BB53-1</f>
        <v>#N/A</v>
      </c>
    </row>
    <row r="54" spans="1:55" ht="15.75">
      <c r="A54" s="69" t="e">
        <f>IF(OR(ROW()&gt;BC54,B54=""),"",COUNTIF($C$3:C54,C54))</f>
        <v>#N/A</v>
      </c>
      <c r="B54" s="146"/>
      <c r="C54" s="70"/>
      <c r="D54" s="73"/>
      <c r="E54" s="189">
        <f ca="1" t="shared" si="1"/>
        <v>0</v>
      </c>
      <c r="F54" s="73"/>
      <c r="G54" s="73"/>
      <c r="H54" s="73"/>
      <c r="I54" s="73"/>
      <c r="J54" s="73"/>
      <c r="K54" s="73"/>
      <c r="L54" s="73"/>
      <c r="M54" s="217"/>
      <c r="N54" s="73"/>
      <c r="O54" s="73"/>
      <c r="P54" s="73"/>
      <c r="Q54" s="73"/>
      <c r="R54" s="73"/>
      <c r="S54" s="73"/>
      <c r="T54" s="73"/>
      <c r="U54" s="73"/>
      <c r="V54" s="73"/>
      <c r="W54" s="72"/>
      <c r="X54" s="75"/>
      <c r="Y54" s="192"/>
      <c r="Z54" s="76"/>
      <c r="AA54" s="77"/>
      <c r="AB54" s="78"/>
      <c r="BB54" s="1">
        <f t="shared" si="3"/>
        <v>89</v>
      </c>
      <c r="BC54" t="e">
        <f ca="1">OFFSET(TTinDV!$E$4,MATCH(DSUCV!C54,TTinDV!$A$5:$A$60,),)+BB54-1</f>
        <v>#N/A</v>
      </c>
    </row>
    <row r="55" spans="1:55" ht="15.75">
      <c r="A55" s="69" t="e">
        <f>IF(OR(ROW()&gt;BC55,B55=""),"",COUNTIF($C$3:C55,C55))</f>
        <v>#N/A</v>
      </c>
      <c r="B55" s="146"/>
      <c r="C55" s="70"/>
      <c r="D55" s="73"/>
      <c r="E55" s="189">
        <f ca="1" t="shared" si="1"/>
        <v>0</v>
      </c>
      <c r="F55" s="73"/>
      <c r="G55" s="73"/>
      <c r="H55" s="73"/>
      <c r="I55" s="73"/>
      <c r="J55" s="73"/>
      <c r="K55" s="73"/>
      <c r="L55" s="73"/>
      <c r="M55" s="217"/>
      <c r="N55" s="73"/>
      <c r="O55" s="73"/>
      <c r="P55" s="73"/>
      <c r="Q55" s="73"/>
      <c r="R55" s="73"/>
      <c r="S55" s="73"/>
      <c r="T55" s="73"/>
      <c r="U55" s="73"/>
      <c r="V55" s="73"/>
      <c r="W55" s="72"/>
      <c r="X55" s="75">
        <f ca="1">IF(ROW()&gt;TS_UCV+3,"",OFFSET(MauTH!$A$11,C55,16))</f>
      </c>
      <c r="Y55" s="192">
        <f ca="1">IF(ROW()&gt;TS_UCV+3,"",OFFSET(MauTH!$A$11,C55,19+COUNTIF($C$4:C55,C55))+DATEDIF(D55,NOW(),"D")/10^8)</f>
      </c>
      <c r="Z55" s="76">
        <f t="shared" si="2"/>
      </c>
      <c r="AA55" s="77">
        <f ca="1" t="shared" si="4"/>
      </c>
      <c r="AB55" s="78">
        <f ca="1">IF(ROW()&gt;TS_UCV+3,"",IF(MAX(INDIRECT("$AA$"&amp;BB55&amp;":$AA$"&amp;BC55))&lt;VLOOKUP(C55,TTinDV!$B$6:$D$14,3),"Thiếu",AA55))</f>
      </c>
      <c r="BB55" s="1">
        <f t="shared" si="3"/>
        <v>89</v>
      </c>
      <c r="BC55" t="e">
        <f ca="1">OFFSET(TTinDV!$E$4,MATCH(DSUCV!C55,TTinDV!$A$5:$A$60,),)+BB55-1</f>
        <v>#N/A</v>
      </c>
    </row>
    <row r="56" spans="1:55" ht="15.75">
      <c r="A56" s="69" t="e">
        <f>IF(OR(ROW()&gt;BC56,B56=""),"",COUNTIF($C$3:C56,C56))</f>
        <v>#N/A</v>
      </c>
      <c r="B56" s="146"/>
      <c r="C56" s="70"/>
      <c r="D56" s="73"/>
      <c r="E56" s="189">
        <f ca="1" t="shared" si="1"/>
        <v>0</v>
      </c>
      <c r="F56" s="73"/>
      <c r="G56" s="73"/>
      <c r="H56" s="73"/>
      <c r="I56" s="73"/>
      <c r="J56" s="73"/>
      <c r="K56" s="73"/>
      <c r="L56" s="73"/>
      <c r="M56" s="217"/>
      <c r="N56" s="73"/>
      <c r="O56" s="73"/>
      <c r="P56" s="73"/>
      <c r="Q56" s="73"/>
      <c r="R56" s="73"/>
      <c r="S56" s="73"/>
      <c r="T56" s="73"/>
      <c r="U56" s="73"/>
      <c r="V56" s="73"/>
      <c r="W56" s="72"/>
      <c r="X56" s="75">
        <f ca="1">IF(ROW()&gt;TS_UCV+3,"",OFFSET(MauTH!$A$11,C56,16))</f>
      </c>
      <c r="Y56" s="192">
        <f ca="1">IF(ROW()&gt;TS_UCV+3,"",OFFSET(MauTH!$A$11,C56,19+COUNTIF($C$4:C56,C56))+DATEDIF(D56,NOW(),"D")/10^8)</f>
      </c>
      <c r="Z56" s="76">
        <f t="shared" si="2"/>
      </c>
      <c r="AA56" s="77">
        <f ca="1" t="shared" si="4"/>
      </c>
      <c r="AB56" s="78">
        <f ca="1">IF(ROW()&gt;TS_UCV+3,"",IF(MAX(INDIRECT("$AA$"&amp;BB56&amp;":$AA$"&amp;BC56))&lt;VLOOKUP(C56,TTinDV!$B$6:$D$14,3),"Thiếu",AA56))</f>
      </c>
      <c r="BB56" s="1">
        <f t="shared" si="3"/>
        <v>89</v>
      </c>
      <c r="BC56" t="e">
        <f ca="1">OFFSET(TTinDV!$E$4,MATCH(DSUCV!C56,TTinDV!$A$5:$A$60,),)+BB56-1</f>
        <v>#N/A</v>
      </c>
    </row>
    <row r="57" spans="1:55" ht="15.75">
      <c r="A57" s="69" t="e">
        <f>IF(OR(ROW()&gt;BC57,B57=""),"",COUNTIF($C$3:C57,C57))</f>
        <v>#N/A</v>
      </c>
      <c r="B57" s="146"/>
      <c r="C57" s="70"/>
      <c r="D57" s="73"/>
      <c r="E57" s="189">
        <f ca="1" t="shared" si="1"/>
        <v>0</v>
      </c>
      <c r="F57" s="73"/>
      <c r="G57" s="73"/>
      <c r="H57" s="73"/>
      <c r="I57" s="73"/>
      <c r="J57" s="73"/>
      <c r="K57" s="73"/>
      <c r="L57" s="73"/>
      <c r="M57" s="217"/>
      <c r="N57" s="73"/>
      <c r="O57" s="73"/>
      <c r="P57" s="73"/>
      <c r="Q57" s="73"/>
      <c r="R57" s="73"/>
      <c r="S57" s="73"/>
      <c r="T57" s="73"/>
      <c r="U57" s="73"/>
      <c r="V57" s="73"/>
      <c r="W57" s="72"/>
      <c r="X57" s="75">
        <f ca="1">IF(ROW()&gt;TS_UCV+3,"",OFFSET(MauTH!$A$11,C57,16))</f>
      </c>
      <c r="Y57" s="192">
        <f ca="1">IF(ROW()&gt;TS_UCV+3,"",OFFSET(MauTH!$A$11,C57,19+COUNTIF($C$4:C57,C57))+DATEDIF(D57,NOW(),"D")/10^8)</f>
      </c>
      <c r="Z57" s="76">
        <f t="shared" si="2"/>
      </c>
      <c r="AA57" s="77">
        <f ca="1" t="shared" si="4"/>
      </c>
      <c r="AB57" s="78">
        <f ca="1">IF(ROW()&gt;TS_UCV+3,"",IF(MAX(INDIRECT("$AA$"&amp;BB57&amp;":$AA$"&amp;BC57))&lt;VLOOKUP(C57,TTinDV!$B$6:$D$14,3),"Thiếu",AA57))</f>
      </c>
      <c r="BB57" s="1">
        <f t="shared" si="3"/>
        <v>89</v>
      </c>
      <c r="BC57" t="e">
        <f ca="1">OFFSET(TTinDV!$E$4,MATCH(DSUCV!C57,TTinDV!$A$5:$A$60,),)+BB57-1</f>
        <v>#N/A</v>
      </c>
    </row>
    <row r="58" spans="1:55" ht="15.75">
      <c r="A58" s="69" t="e">
        <f>IF(OR(ROW()&gt;BC58,B58=""),"",COUNTIF($C$3:C58,C58))</f>
        <v>#N/A</v>
      </c>
      <c r="B58" s="146"/>
      <c r="C58" s="70"/>
      <c r="D58" s="73"/>
      <c r="E58" s="189">
        <f ca="1" t="shared" si="1"/>
        <v>0</v>
      </c>
      <c r="F58" s="73"/>
      <c r="G58" s="73"/>
      <c r="H58" s="73"/>
      <c r="I58" s="73"/>
      <c r="J58" s="73"/>
      <c r="K58" s="73"/>
      <c r="L58" s="73"/>
      <c r="M58" s="217"/>
      <c r="N58" s="73"/>
      <c r="O58" s="73"/>
      <c r="P58" s="73"/>
      <c r="Q58" s="73"/>
      <c r="R58" s="73"/>
      <c r="S58" s="73"/>
      <c r="T58" s="73"/>
      <c r="U58" s="73"/>
      <c r="V58" s="73"/>
      <c r="W58" s="72"/>
      <c r="X58" s="75">
        <f ca="1">IF(ROW()&gt;TS_UCV+3,"",OFFSET(MauTH!$A$11,C58,16))</f>
      </c>
      <c r="Y58" s="192">
        <f ca="1">IF(ROW()&gt;TS_UCV+3,"",OFFSET(MauTH!$A$11,C58,19+COUNTIF($C$4:C58,C58))+DATEDIF(D58,NOW(),"D")/10^8)</f>
      </c>
      <c r="Z58" s="76">
        <f t="shared" si="2"/>
      </c>
      <c r="AA58" s="77">
        <f ca="1" t="shared" si="4"/>
      </c>
      <c r="AB58" s="78">
        <f ca="1">IF(ROW()&gt;TS_UCV+3,"",IF(MAX(INDIRECT("$AA$"&amp;BB58&amp;":$AA$"&amp;BC58))&lt;VLOOKUP(C58,TTinDV!$B$6:$D$14,3),"Thiếu",AA58))</f>
      </c>
      <c r="BB58" s="1">
        <f t="shared" si="3"/>
        <v>89</v>
      </c>
      <c r="BC58" t="e">
        <f ca="1">OFFSET(TTinDV!$E$4,MATCH(DSUCV!C58,TTinDV!$A$5:$A$60,),)+BB58-1</f>
        <v>#N/A</v>
      </c>
    </row>
    <row r="59" spans="1:55" ht="15.75">
      <c r="A59" s="69" t="e">
        <f>IF(OR(ROW()&gt;BC59,B59=""),"",COUNTIF($C$3:C59,C59))</f>
        <v>#N/A</v>
      </c>
      <c r="B59" s="146"/>
      <c r="C59" s="70"/>
      <c r="D59" s="73"/>
      <c r="E59" s="189">
        <f ca="1" t="shared" si="1"/>
        <v>0</v>
      </c>
      <c r="F59" s="73"/>
      <c r="G59" s="73"/>
      <c r="H59" s="73"/>
      <c r="I59" s="73"/>
      <c r="J59" s="73"/>
      <c r="K59" s="73"/>
      <c r="L59" s="73"/>
      <c r="M59" s="217"/>
      <c r="N59" s="73"/>
      <c r="O59" s="73"/>
      <c r="P59" s="73"/>
      <c r="Q59" s="73"/>
      <c r="R59" s="73"/>
      <c r="S59" s="73"/>
      <c r="T59" s="73"/>
      <c r="U59" s="73"/>
      <c r="V59" s="73"/>
      <c r="W59" s="72"/>
      <c r="X59" s="75">
        <f ca="1">IF(ROW()&gt;TS_UCV+3,"",OFFSET(MauTH!$A$11,C59,16))</f>
      </c>
      <c r="Y59" s="192">
        <f ca="1">IF(ROW()&gt;TS_UCV+3,"",OFFSET(MauTH!$A$11,C59,19+COUNTIF($C$4:C59,C59))+DATEDIF(D59,NOW(),"D")/10^8)</f>
      </c>
      <c r="Z59" s="76">
        <f t="shared" si="2"/>
      </c>
      <c r="AA59" s="77">
        <f ca="1" t="shared" si="4"/>
      </c>
      <c r="AB59" s="78">
        <f ca="1">IF(ROW()&gt;TS_UCV+3,"",IF(MAX(INDIRECT("$AA$"&amp;BB59&amp;":$AA$"&amp;BC59))&lt;VLOOKUP(C59,TTinDV!$B$6:$D$14,3),"Thiếu",AA59))</f>
      </c>
      <c r="BB59" s="1">
        <f t="shared" si="3"/>
        <v>89</v>
      </c>
      <c r="BC59" t="e">
        <f ca="1">OFFSET(TTinDV!$E$4,MATCH(DSUCV!C59,TTinDV!$A$5:$A$60,),)+BB59-1</f>
        <v>#N/A</v>
      </c>
    </row>
    <row r="60" spans="1:55" ht="15.75">
      <c r="A60" s="69" t="e">
        <f>IF(OR(ROW()&gt;BC60,B60=""),"",COUNTIF($C$3:C60,C60))</f>
        <v>#N/A</v>
      </c>
      <c r="B60" s="146"/>
      <c r="C60" s="70"/>
      <c r="D60" s="73"/>
      <c r="E60" s="189">
        <f ca="1" t="shared" si="1"/>
        <v>0</v>
      </c>
      <c r="F60" s="73"/>
      <c r="G60" s="73"/>
      <c r="H60" s="73"/>
      <c r="I60" s="73"/>
      <c r="J60" s="73"/>
      <c r="K60" s="73"/>
      <c r="L60" s="73"/>
      <c r="M60" s="217"/>
      <c r="N60" s="73"/>
      <c r="O60" s="73"/>
      <c r="P60" s="73"/>
      <c r="Q60" s="73"/>
      <c r="R60" s="73"/>
      <c r="S60" s="73"/>
      <c r="T60" s="73"/>
      <c r="U60" s="73"/>
      <c r="V60" s="73"/>
      <c r="W60" s="72"/>
      <c r="X60" s="75">
        <f ca="1">IF(ROW()&gt;TS_UCV+3,"",OFFSET(MauTH!$A$11,C60,16))</f>
      </c>
      <c r="Y60" s="192">
        <f ca="1">IF(ROW()&gt;TS_UCV+3,"",OFFSET(MauTH!$A$11,C60,19+COUNTIF($C$4:C60,C60))+DATEDIF(D60,NOW(),"D")/10^8)</f>
      </c>
      <c r="Z60" s="76">
        <f t="shared" si="2"/>
      </c>
      <c r="AA60" s="77">
        <f ca="1" t="shared" si="4"/>
      </c>
      <c r="AB60" s="78">
        <f ca="1">IF(ROW()&gt;TS_UCV+3,"",IF(MAX(INDIRECT("$AA$"&amp;BB60&amp;":$AA$"&amp;BC60))&lt;VLOOKUP(C60,TTinDV!$B$6:$D$14,3),"Thiếu",AA60))</f>
      </c>
      <c r="BB60" s="1">
        <f t="shared" si="3"/>
        <v>89</v>
      </c>
      <c r="BC60" t="e">
        <f ca="1">OFFSET(TTinDV!$E$4,MATCH(DSUCV!C60,TTinDV!$A$5:$A$60,),)+BB60-1</f>
        <v>#N/A</v>
      </c>
    </row>
    <row r="61" spans="1:55" ht="15.75">
      <c r="A61" s="69" t="e">
        <f>IF(OR(ROW()&gt;BC61,B61=""),"",COUNTIF($C$3:C61,C61))</f>
        <v>#N/A</v>
      </c>
      <c r="B61" s="146"/>
      <c r="C61" s="70"/>
      <c r="D61" s="73"/>
      <c r="E61" s="189">
        <f ca="1" t="shared" si="1"/>
        <v>0</v>
      </c>
      <c r="F61" s="73"/>
      <c r="G61" s="73"/>
      <c r="H61" s="73"/>
      <c r="I61" s="73"/>
      <c r="J61" s="73"/>
      <c r="K61" s="73"/>
      <c r="L61" s="73"/>
      <c r="M61" s="217"/>
      <c r="N61" s="73"/>
      <c r="O61" s="73"/>
      <c r="P61" s="73"/>
      <c r="Q61" s="73"/>
      <c r="R61" s="73"/>
      <c r="S61" s="73"/>
      <c r="T61" s="73"/>
      <c r="U61" s="73"/>
      <c r="V61" s="73"/>
      <c r="W61" s="72"/>
      <c r="X61" s="75">
        <f ca="1">IF(ROW()&gt;TS_UCV+3,"",OFFSET(MauTH!$A$11,C61,16))</f>
      </c>
      <c r="Y61" s="192">
        <f ca="1">IF(ROW()&gt;TS_UCV+3,"",OFFSET(MauTH!$A$11,C61,19+COUNTIF($C$4:C61,C61))+DATEDIF(D61,NOW(),"D")/10^8)</f>
      </c>
      <c r="Z61" s="76">
        <f t="shared" si="2"/>
      </c>
      <c r="AA61" s="77">
        <f ca="1" t="shared" si="4"/>
      </c>
      <c r="AB61" s="78">
        <f ca="1">IF(ROW()&gt;TS_UCV+3,"",IF(MAX(INDIRECT("$AA$"&amp;BB61&amp;":$AA$"&amp;BC61))&lt;VLOOKUP(C61,TTinDV!$B$6:$D$14,3),"Thiếu",AA61))</f>
      </c>
      <c r="BB61" s="1">
        <f t="shared" si="3"/>
        <v>89</v>
      </c>
      <c r="BC61" t="e">
        <f ca="1">OFFSET(TTinDV!$E$4,MATCH(DSUCV!C61,TTinDV!$A$5:$A$60,),)+BB61-1</f>
        <v>#N/A</v>
      </c>
    </row>
    <row r="62" ht="15.75">
      <c r="E62" s="189">
        <f ca="1" t="shared" si="1"/>
        <v>0</v>
      </c>
    </row>
    <row r="63" ht="15.75">
      <c r="E63" s="189">
        <f ca="1" t="shared" si="1"/>
        <v>0</v>
      </c>
    </row>
    <row r="64" ht="15.75">
      <c r="E64" s="189">
        <f ca="1" t="shared" si="1"/>
        <v>0</v>
      </c>
    </row>
    <row r="65" ht="15.75">
      <c r="E65" s="189">
        <f ca="1" t="shared" si="1"/>
        <v>0</v>
      </c>
    </row>
    <row r="66" ht="15.75">
      <c r="E66" s="189">
        <f ca="1" t="shared" si="1"/>
        <v>0</v>
      </c>
    </row>
    <row r="67" ht="15.75">
      <c r="E67" s="189">
        <f ca="1" t="shared" si="1"/>
        <v>0</v>
      </c>
    </row>
    <row r="68" ht="15.75">
      <c r="E68" s="189">
        <f ca="1" t="shared" si="1"/>
        <v>0</v>
      </c>
    </row>
    <row r="69" ht="15.75">
      <c r="E69" s="189">
        <f ca="1">IF(D69="",0,DATEDIF(D69,NOW(),"y"))</f>
        <v>0</v>
      </c>
    </row>
    <row r="70" ht="15.75">
      <c r="E70" s="189">
        <f ca="1">IF(D70="",0,DATEDIF(D70,NOW(),"y"))</f>
        <v>0</v>
      </c>
    </row>
  </sheetData>
  <sheetProtection/>
  <conditionalFormatting sqref="A3:AB3">
    <cfRule type="expression" priority="7" dxfId="21" stopIfTrue="1">
      <formula>$A$2&lt;&gt;""</formula>
    </cfRule>
  </conditionalFormatting>
  <conditionalFormatting sqref="A2:AB2">
    <cfRule type="expression" priority="6" dxfId="21" stopIfTrue="1">
      <formula>$A$2&lt;&gt;""</formula>
    </cfRule>
  </conditionalFormatting>
  <conditionalFormatting sqref="E5:E70 A5:D61 A4:AB4 F5:AB61">
    <cfRule type="expression" priority="3" dxfId="6">
      <formula>AND($B4&lt;&gt;"",ROW()&gt;TS_UCV+3)</formula>
    </cfRule>
    <cfRule type="expression" priority="4" dxfId="22" stopIfTrue="1">
      <formula>ROW()=$BC4</formula>
    </cfRule>
    <cfRule type="expression" priority="5" dxfId="23">
      <formula>$B4&lt;&gt;""</formula>
    </cfRule>
  </conditionalFormatting>
  <dataValidations count="7">
    <dataValidation type="list" allowBlank="1" showInputMessage="1" showErrorMessage="1" sqref="F2:F70">
      <formula1>"Nam,Nữ"</formula1>
    </dataValidation>
    <dataValidation type="whole" operator="lessThanOrEqual" allowBlank="1" showInputMessage="1" showErrorMessage="1" error="Sai tên Đơn vị BC" sqref="C4:C61">
      <formula1>VLOOKUP(Ten_xa,DL_Xa,2,)</formula1>
    </dataValidation>
    <dataValidation type="list" allowBlank="1" showInputMessage="1" showErrorMessage="1" sqref="V2:V61">
      <formula1>"Tự ứng cử"</formula1>
    </dataValidation>
    <dataValidation type="list" allowBlank="1" showInputMessage="1" showErrorMessage="1" sqref="M2 M4:M70">
      <formula1>"CQ Đảng,Ch quyền,M trận,LLVT,Khác"</formula1>
    </dataValidation>
    <dataValidation type="list" allowBlank="1" showInputMessage="1" showErrorMessage="1" sqref="Q2:Q70">
      <formula1>"Dưới DH,Đại học,Sau ĐH"</formula1>
    </dataValidation>
    <dataValidation type="list" allowBlank="1" showInputMessage="1" showErrorMessage="1" sqref="S2:S70">
      <formula1>"Sơ cấp,Trung cấp,Cao cấp,Cử nhân"</formula1>
    </dataValidation>
    <dataValidation type="custom" operator="equal" allowBlank="1" showInputMessage="1" showErrorMessage="1" prompt="Không nhập vào ô này&#10;" sqref="E4:E70">
      <formula1>IF(D4="",0,DATEDIF(D4,NOW(),"y"))</formula1>
    </dataValidation>
  </dataValidation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2">
    <pageSetUpPr fitToPage="1"/>
  </sheetPr>
  <dimension ref="A1:AI28"/>
  <sheetViews>
    <sheetView showGridLines="0" showZeros="0" zoomScale="70" zoomScaleNormal="70" zoomScalePageLayoutView="0" workbookViewId="0" topLeftCell="A1">
      <pane xSplit="1" ySplit="11" topLeftCell="B14" activePane="bottomRight" state="frozen"/>
      <selection pane="topLeft" activeCell="A1" sqref="A1"/>
      <selection pane="topRight" activeCell="B1" sqref="B1"/>
      <selection pane="bottomLeft" activeCell="A12" sqref="A12"/>
      <selection pane="bottomRight" activeCell="A28" sqref="A28"/>
    </sheetView>
  </sheetViews>
  <sheetFormatPr defaultColWidth="9.00390625" defaultRowHeight="15.75" zeroHeight="1"/>
  <cols>
    <col min="1" max="1" width="23.125" style="241" customWidth="1"/>
    <col min="2" max="2" width="7.125" style="285" customWidth="1"/>
    <col min="3" max="3" width="6.625" style="285" customWidth="1"/>
    <col min="4" max="5" width="6.50390625" style="241" customWidth="1"/>
    <col min="6" max="6" width="8.375" style="241" customWidth="1"/>
    <col min="7" max="8" width="6.00390625" style="241" customWidth="1"/>
    <col min="9" max="9" width="8.875" style="241" customWidth="1"/>
    <col min="10" max="10" width="6.625" style="241" customWidth="1"/>
    <col min="11" max="16" width="5.75390625" style="241" customWidth="1"/>
    <col min="17" max="17" width="6.75390625" style="241" customWidth="1"/>
    <col min="18" max="18" width="8.375" style="241" customWidth="1"/>
    <col min="19" max="19" width="8.25390625" style="241" customWidth="1"/>
    <col min="20" max="20" width="7.00390625" style="241" customWidth="1"/>
    <col min="21" max="26" width="6.75390625" style="241" customWidth="1"/>
    <col min="27" max="27" width="6.625" style="241" customWidth="1"/>
    <col min="28" max="28" width="6.00390625" style="241" customWidth="1"/>
    <col min="29" max="29" width="9.875" style="241" customWidth="1"/>
    <col min="30" max="30" width="9.00390625" style="242" customWidth="1"/>
    <col min="31" max="31" width="9.00390625" style="243" customWidth="1"/>
    <col min="32" max="16384" width="9.00390625" style="241" customWidth="1"/>
  </cols>
  <sheetData>
    <row r="1" spans="1:29" ht="22.5">
      <c r="A1" s="286"/>
      <c r="B1" s="286"/>
      <c r="C1" s="286"/>
      <c r="D1" s="287" t="s">
        <v>1</v>
      </c>
      <c r="E1" s="287"/>
      <c r="F1" s="287"/>
      <c r="G1" s="287"/>
      <c r="H1" s="287"/>
      <c r="I1" s="287"/>
      <c r="J1" s="287"/>
      <c r="K1" s="287"/>
      <c r="L1" s="287"/>
      <c r="M1" s="287"/>
      <c r="N1" s="287"/>
      <c r="O1" s="287"/>
      <c r="P1" s="287"/>
      <c r="Q1" s="287"/>
      <c r="R1" s="287"/>
      <c r="S1" s="287"/>
      <c r="T1" s="287"/>
      <c r="U1" s="287"/>
      <c r="V1" s="287"/>
      <c r="W1" s="287"/>
      <c r="X1" s="287"/>
      <c r="Y1" s="287"/>
      <c r="Z1" s="287"/>
      <c r="AA1" s="287"/>
      <c r="AB1" s="287"/>
      <c r="AC1" s="287"/>
    </row>
    <row r="2" spans="1:29" ht="20.25">
      <c r="A2" s="288" t="s">
        <v>408</v>
      </c>
      <c r="B2" s="288"/>
      <c r="C2" s="288"/>
      <c r="D2" s="289" t="s">
        <v>2</v>
      </c>
      <c r="E2" s="289"/>
      <c r="F2" s="289"/>
      <c r="G2" s="289"/>
      <c r="H2" s="289"/>
      <c r="I2" s="289"/>
      <c r="J2" s="289"/>
      <c r="K2" s="289"/>
      <c r="L2" s="289"/>
      <c r="M2" s="289"/>
      <c r="N2" s="289"/>
      <c r="O2" s="289"/>
      <c r="P2" s="289"/>
      <c r="Q2" s="289"/>
      <c r="R2" s="289"/>
      <c r="S2" s="289"/>
      <c r="T2" s="289"/>
      <c r="U2" s="289"/>
      <c r="V2" s="289"/>
      <c r="W2" s="289"/>
      <c r="X2" s="289"/>
      <c r="Y2" s="289"/>
      <c r="Z2" s="289"/>
      <c r="AA2" s="289"/>
      <c r="AB2" s="289"/>
      <c r="AC2" s="289"/>
    </row>
    <row r="3" spans="1:29" ht="15.75">
      <c r="A3" s="290" t="s">
        <v>298</v>
      </c>
      <c r="B3" s="288"/>
      <c r="C3" s="288"/>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row>
    <row r="4" spans="1:29" ht="15.75">
      <c r="A4" s="288" t="str">
        <f>A7</f>
        <v>xã Hướng Phùng</v>
      </c>
      <c r="B4" s="288"/>
      <c r="C4" s="288"/>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row>
    <row r="5" spans="1:31" s="244" customFormat="1" ht="11.25" customHeight="1">
      <c r="A5" s="291"/>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E5" s="245"/>
    </row>
    <row r="6" spans="1:29" ht="15.75" customHeight="1">
      <c r="A6" s="246"/>
      <c r="B6" s="383" t="s">
        <v>3</v>
      </c>
      <c r="C6" s="383" t="s">
        <v>4</v>
      </c>
      <c r="D6" s="383" t="s">
        <v>5</v>
      </c>
      <c r="E6" s="383" t="s">
        <v>6</v>
      </c>
      <c r="F6" s="383" t="s">
        <v>7</v>
      </c>
      <c r="G6" s="390" t="s">
        <v>8</v>
      </c>
      <c r="H6" s="391"/>
      <c r="I6" s="391"/>
      <c r="J6" s="391"/>
      <c r="K6" s="391"/>
      <c r="L6" s="391"/>
      <c r="M6" s="391"/>
      <c r="N6" s="391"/>
      <c r="O6" s="391"/>
      <c r="P6" s="391"/>
      <c r="Q6" s="391"/>
      <c r="R6" s="391"/>
      <c r="S6" s="392"/>
      <c r="T6" s="383" t="s">
        <v>9</v>
      </c>
      <c r="U6" s="247" t="s">
        <v>10</v>
      </c>
      <c r="V6" s="247"/>
      <c r="W6" s="247"/>
      <c r="X6" s="247"/>
      <c r="Y6" s="247"/>
      <c r="Z6" s="247"/>
      <c r="AA6" s="247"/>
      <c r="AB6" s="247"/>
      <c r="AC6" s="387" t="s">
        <v>11</v>
      </c>
    </row>
    <row r="7" spans="1:29" ht="15.75" customHeight="1">
      <c r="A7" s="292" t="str">
        <f>TenXa</f>
        <v>xã Hướng Phùng</v>
      </c>
      <c r="B7" s="384"/>
      <c r="C7" s="384"/>
      <c r="D7" s="384"/>
      <c r="E7" s="384"/>
      <c r="F7" s="384"/>
      <c r="G7" s="384" t="s">
        <v>12</v>
      </c>
      <c r="H7" s="384" t="s">
        <v>13</v>
      </c>
      <c r="I7" s="383" t="s">
        <v>14</v>
      </c>
      <c r="J7" s="248" t="s">
        <v>15</v>
      </c>
      <c r="K7" s="248"/>
      <c r="L7" s="248"/>
      <c r="M7" s="248"/>
      <c r="N7" s="248"/>
      <c r="O7" s="248"/>
      <c r="P7" s="388" t="s">
        <v>16</v>
      </c>
      <c r="Q7" s="388" t="s">
        <v>17</v>
      </c>
      <c r="R7" s="385" t="s">
        <v>18</v>
      </c>
      <c r="S7" s="385" t="s">
        <v>19</v>
      </c>
      <c r="T7" s="384"/>
      <c r="U7" s="380" t="s">
        <v>20</v>
      </c>
      <c r="V7" s="380" t="s">
        <v>21</v>
      </c>
      <c r="W7" s="380" t="s">
        <v>22</v>
      </c>
      <c r="X7" s="380" t="s">
        <v>23</v>
      </c>
      <c r="Y7" s="380" t="s">
        <v>24</v>
      </c>
      <c r="Z7" s="380" t="s">
        <v>25</v>
      </c>
      <c r="AA7" s="380" t="s">
        <v>26</v>
      </c>
      <c r="AB7" s="380" t="s">
        <v>27</v>
      </c>
      <c r="AC7" s="384"/>
    </row>
    <row r="8" spans="1:29" ht="21" customHeight="1">
      <c r="A8" s="249" t="str">
        <f>A3</f>
        <v>Huyện Hướng Hóa</v>
      </c>
      <c r="B8" s="384"/>
      <c r="C8" s="384"/>
      <c r="D8" s="384"/>
      <c r="E8" s="384"/>
      <c r="F8" s="384"/>
      <c r="G8" s="384"/>
      <c r="H8" s="384"/>
      <c r="I8" s="384"/>
      <c r="J8" s="386" t="s">
        <v>28</v>
      </c>
      <c r="K8" s="250" t="s">
        <v>29</v>
      </c>
      <c r="L8" s="251"/>
      <c r="M8" s="251"/>
      <c r="N8" s="251"/>
      <c r="O8" s="251"/>
      <c r="P8" s="389"/>
      <c r="Q8" s="389"/>
      <c r="R8" s="386"/>
      <c r="S8" s="386"/>
      <c r="T8" s="384"/>
      <c r="U8" s="381"/>
      <c r="V8" s="381"/>
      <c r="W8" s="381"/>
      <c r="X8" s="381"/>
      <c r="Y8" s="381"/>
      <c r="Z8" s="381"/>
      <c r="AA8" s="381"/>
      <c r="AB8" s="381"/>
      <c r="AC8" s="384"/>
    </row>
    <row r="9" spans="1:29" ht="15.75">
      <c r="A9" s="249"/>
      <c r="B9" s="384"/>
      <c r="C9" s="384"/>
      <c r="D9" s="384"/>
      <c r="E9" s="384"/>
      <c r="F9" s="384"/>
      <c r="G9" s="384"/>
      <c r="H9" s="384"/>
      <c r="I9" s="384"/>
      <c r="J9" s="386"/>
      <c r="K9" s="386" t="s">
        <v>30</v>
      </c>
      <c r="L9" s="386" t="s">
        <v>31</v>
      </c>
      <c r="M9" s="386" t="s">
        <v>32</v>
      </c>
      <c r="N9" s="386" t="s">
        <v>33</v>
      </c>
      <c r="O9" s="386" t="s">
        <v>34</v>
      </c>
      <c r="P9" s="389"/>
      <c r="Q9" s="389"/>
      <c r="R9" s="386"/>
      <c r="S9" s="386"/>
      <c r="T9" s="384"/>
      <c r="U9" s="381"/>
      <c r="V9" s="381"/>
      <c r="W9" s="381"/>
      <c r="X9" s="381"/>
      <c r="Y9" s="381"/>
      <c r="Z9" s="381"/>
      <c r="AA9" s="381"/>
      <c r="AB9" s="381"/>
      <c r="AC9" s="384"/>
    </row>
    <row r="10" spans="1:29" ht="63.75" customHeight="1">
      <c r="A10" s="252"/>
      <c r="B10" s="385"/>
      <c r="C10" s="385"/>
      <c r="D10" s="385"/>
      <c r="E10" s="385"/>
      <c r="F10" s="385"/>
      <c r="G10" s="385"/>
      <c r="H10" s="385"/>
      <c r="I10" s="385"/>
      <c r="J10" s="386"/>
      <c r="K10" s="386"/>
      <c r="L10" s="386"/>
      <c r="M10" s="386"/>
      <c r="N10" s="386"/>
      <c r="O10" s="386"/>
      <c r="P10" s="389"/>
      <c r="Q10" s="389"/>
      <c r="R10" s="386"/>
      <c r="S10" s="386"/>
      <c r="T10" s="385"/>
      <c r="U10" s="382"/>
      <c r="V10" s="382"/>
      <c r="W10" s="382"/>
      <c r="X10" s="382"/>
      <c r="Y10" s="382"/>
      <c r="Z10" s="382"/>
      <c r="AA10" s="382"/>
      <c r="AB10" s="382"/>
      <c r="AC10" s="385"/>
    </row>
    <row r="11" spans="1:31" s="256" customFormat="1" ht="13.5" customHeight="1">
      <c r="A11" s="253">
        <v>1</v>
      </c>
      <c r="B11" s="253">
        <v>2</v>
      </c>
      <c r="C11" s="253">
        <v>3</v>
      </c>
      <c r="D11" s="253">
        <v>4</v>
      </c>
      <c r="E11" s="253">
        <v>5</v>
      </c>
      <c r="F11" s="253" t="s">
        <v>35</v>
      </c>
      <c r="G11" s="253">
        <v>7</v>
      </c>
      <c r="H11" s="253">
        <v>8</v>
      </c>
      <c r="I11" s="253" t="s">
        <v>36</v>
      </c>
      <c r="J11" s="253">
        <v>10</v>
      </c>
      <c r="K11" s="253">
        <v>11</v>
      </c>
      <c r="L11" s="253">
        <v>12</v>
      </c>
      <c r="M11" s="253">
        <v>13</v>
      </c>
      <c r="N11" s="253">
        <v>14</v>
      </c>
      <c r="O11" s="253">
        <v>15</v>
      </c>
      <c r="P11" s="253">
        <v>16</v>
      </c>
      <c r="Q11" s="253" t="s">
        <v>37</v>
      </c>
      <c r="R11" s="253" t="s">
        <v>38</v>
      </c>
      <c r="S11" s="253" t="s">
        <v>39</v>
      </c>
      <c r="T11" s="253">
        <v>20</v>
      </c>
      <c r="U11" s="253">
        <v>21</v>
      </c>
      <c r="V11" s="253">
        <v>22</v>
      </c>
      <c r="W11" s="253">
        <v>23</v>
      </c>
      <c r="X11" s="253">
        <v>24</v>
      </c>
      <c r="Y11" s="253">
        <v>25</v>
      </c>
      <c r="Z11" s="253">
        <v>26</v>
      </c>
      <c r="AA11" s="253">
        <v>27</v>
      </c>
      <c r="AB11" s="253">
        <v>28</v>
      </c>
      <c r="AC11" s="253">
        <v>29</v>
      </c>
      <c r="AD11" s="254"/>
      <c r="AE11" s="255">
        <v>5</v>
      </c>
    </row>
    <row r="12" spans="1:31" s="264" customFormat="1" ht="19.5" customHeight="1">
      <c r="A12" s="257" t="str">
        <f ca="1">IF(ROW(1:1)&lt;=TS_DiemBC,UPPER(OFFSET(TTinDV!$B$5,ROW(1:1),)),IF(ROW(1:1)=TS_DiemBC+1,"TỔNG CỘNG",""))</f>
        <v>TỔ BC SỐ 1</v>
      </c>
      <c r="B12" s="258"/>
      <c r="C12" s="258"/>
      <c r="D12" s="259"/>
      <c r="E12" s="259"/>
      <c r="F12" s="260"/>
      <c r="G12" s="259"/>
      <c r="H12" s="259"/>
      <c r="I12" s="260"/>
      <c r="J12" s="259"/>
      <c r="K12" s="259"/>
      <c r="L12" s="259"/>
      <c r="M12" s="259"/>
      <c r="N12" s="259"/>
      <c r="O12" s="259"/>
      <c r="P12" s="259"/>
      <c r="Q12" s="259"/>
      <c r="R12" s="260"/>
      <c r="S12" s="260"/>
      <c r="T12" s="259"/>
      <c r="U12" s="259"/>
      <c r="V12" s="259"/>
      <c r="W12" s="259"/>
      <c r="X12" s="259"/>
      <c r="Y12" s="259"/>
      <c r="Z12" s="259"/>
      <c r="AA12" s="259"/>
      <c r="AB12" s="259"/>
      <c r="AC12" s="261"/>
      <c r="AD12" s="262">
        <f aca="true" t="shared" si="0" ref="AD12:AD20">IF(AC12&lt;&gt;K12+L12*2+M12*3+N12*4+O12*5,K12+L12*2+M12*3+N12*4+O12*5&amp;"- Sai","")</f>
      </c>
      <c r="AE12" s="263" t="str">
        <f ca="1">OFFSET(DSUCV!$B$3,MATCH(Ten_DVBC,DSUCV!$C$4:$C$68,)+ROW(1:1)-1,0)</f>
        <v>UV A16</v>
      </c>
    </row>
    <row r="13" spans="1:31" s="261" customFormat="1" ht="19.5" customHeight="1">
      <c r="A13" s="257" t="str">
        <f ca="1">IF(ROW(2:2)&lt;=TS_DiemBC,UPPER(OFFSET(TTinDV!$B$5,ROW(2:2),)),IF(ROW(2:2)=TS_DiemBC+1,"TỔNG CỘNG",""))</f>
        <v>TỔ BC SỐ 2</v>
      </c>
      <c r="B13" s="258"/>
      <c r="C13" s="258"/>
      <c r="F13" s="260"/>
      <c r="I13" s="260"/>
      <c r="R13" s="260"/>
      <c r="S13" s="265"/>
      <c r="AD13" s="262">
        <f t="shared" si="0"/>
      </c>
      <c r="AE13" s="263" t="str">
        <f ca="1">OFFSET(DSUCV!$B$3,MATCH(Ten_DVBC,DSUCV!$C$4:$C$68,)+ROW(2:2)-1,0)</f>
        <v>UV A17</v>
      </c>
    </row>
    <row r="14" spans="1:31" s="261" customFormat="1" ht="19.5" customHeight="1">
      <c r="A14" s="257" t="str">
        <f ca="1">IF(ROW(3:3)&lt;=TS_DiemBC,UPPER(OFFSET(TTinDV!$B$5,ROW(3:3),)),IF(ROW(3:3)=TS_DiemBC+1,"TỔNG CỘNG",""))</f>
        <v>TỔ BC SỐ 3</v>
      </c>
      <c r="B14" s="258"/>
      <c r="C14" s="258"/>
      <c r="F14" s="260"/>
      <c r="I14" s="260"/>
      <c r="R14" s="260"/>
      <c r="S14" s="265"/>
      <c r="AD14" s="262">
        <f t="shared" si="0"/>
      </c>
      <c r="AE14" s="263" t="str">
        <f ca="1">OFFSET(DSUCV!$B$3,MATCH(Ten_DVBC,DSUCV!$C$4:$C$68,)+ROW(3:3)-1,0)</f>
        <v>UV A18</v>
      </c>
    </row>
    <row r="15" spans="1:31" s="261" customFormat="1" ht="19.5" customHeight="1">
      <c r="A15" s="257" t="str">
        <f ca="1">IF(ROW(4:4)&lt;=TS_DiemBC,UPPER(OFFSET(TTinDV!$B$5,ROW(4:4),)),IF(ROW(4:4)=TS_DiemBC+1,"TỔNG CỘNG",""))</f>
        <v>TỔ BC SỐ 4</v>
      </c>
      <c r="B15" s="258"/>
      <c r="C15" s="258"/>
      <c r="F15" s="265"/>
      <c r="I15" s="265"/>
      <c r="R15" s="265"/>
      <c r="S15" s="265"/>
      <c r="AD15" s="262">
        <f t="shared" si="0"/>
      </c>
      <c r="AE15" s="263" t="str">
        <f ca="1">OFFSET(DSUCV!$B$3,MATCH(Ten_DVBC,DSUCV!$C$4:$C$68,)+ROW(4:4)-1,0)</f>
        <v>UV A19</v>
      </c>
    </row>
    <row r="16" spans="1:31" s="266" customFormat="1" ht="19.5" customHeight="1">
      <c r="A16" s="257" t="str">
        <f ca="1">IF(ROW(5:5)&lt;=TS_DiemBC,UPPER(OFFSET(TTinDV!$B$5,ROW(5:5),)),IF(ROW(5:5)=TS_DiemBC+1,"TỔNG CỘNG",""))</f>
        <v>TỔ BC SỐ 5</v>
      </c>
      <c r="B16" s="258"/>
      <c r="C16" s="258"/>
      <c r="D16" s="261"/>
      <c r="E16" s="261"/>
      <c r="F16" s="265"/>
      <c r="G16" s="261"/>
      <c r="H16" s="261"/>
      <c r="I16" s="265"/>
      <c r="J16" s="261"/>
      <c r="K16" s="261"/>
      <c r="L16" s="261"/>
      <c r="M16" s="261"/>
      <c r="N16" s="261"/>
      <c r="O16" s="261"/>
      <c r="P16" s="261"/>
      <c r="Q16" s="261"/>
      <c r="R16" s="265"/>
      <c r="S16" s="265"/>
      <c r="T16" s="261"/>
      <c r="U16" s="261"/>
      <c r="V16" s="261"/>
      <c r="W16" s="261"/>
      <c r="X16" s="261"/>
      <c r="Y16" s="261"/>
      <c r="Z16" s="261"/>
      <c r="AA16" s="261"/>
      <c r="AB16" s="261"/>
      <c r="AC16" s="261"/>
      <c r="AD16" s="262">
        <f t="shared" si="0"/>
      </c>
      <c r="AE16" s="263" t="str">
        <f ca="1">OFFSET(DSUCV!$B$3,MATCH(Ten_DVBC,DSUCV!$C$4:$C$68,)+ROW(5:5)-1,0)</f>
        <v>UV A20</v>
      </c>
    </row>
    <row r="17" spans="1:31" s="266" customFormat="1" ht="19.5" customHeight="1">
      <c r="A17" s="257" t="str">
        <f ca="1">IF(ROW(6:6)&lt;=TS_DiemBC,UPPER(OFFSET(TTinDV!$B$5,ROW(6:6),)),IF(ROW(6:6)=TS_DiemBC+1,"TỔNG CỘNG",""))</f>
        <v>TỔ BC SỐ 6</v>
      </c>
      <c r="B17" s="258"/>
      <c r="C17" s="258"/>
      <c r="D17" s="261"/>
      <c r="E17" s="261"/>
      <c r="F17" s="265"/>
      <c r="G17" s="261"/>
      <c r="H17" s="261"/>
      <c r="I17" s="265"/>
      <c r="J17" s="261"/>
      <c r="K17" s="261"/>
      <c r="L17" s="261"/>
      <c r="M17" s="261"/>
      <c r="N17" s="261"/>
      <c r="O17" s="261"/>
      <c r="P17" s="261"/>
      <c r="Q17" s="261"/>
      <c r="R17" s="265"/>
      <c r="S17" s="265"/>
      <c r="T17" s="261"/>
      <c r="U17" s="261"/>
      <c r="V17" s="261"/>
      <c r="W17" s="261"/>
      <c r="X17" s="261"/>
      <c r="Y17" s="261"/>
      <c r="Z17" s="261"/>
      <c r="AA17" s="261"/>
      <c r="AB17" s="261"/>
      <c r="AC17" s="261"/>
      <c r="AD17" s="262">
        <f t="shared" si="0"/>
      </c>
      <c r="AE17" s="263" t="str">
        <f ca="1">OFFSET(DSUCV!$B$3,MATCH(Ten_DVBC,DSUCV!$C$4:$C$68,)+ROW(6:6)-1,0)</f>
        <v>UV A21</v>
      </c>
    </row>
    <row r="18" spans="1:31" s="266" customFormat="1" ht="19.5" customHeight="1">
      <c r="A18" s="257" t="str">
        <f ca="1">IF(ROW(7:7)&lt;=TS_DiemBC,UPPER(OFFSET(TTinDV!$B$5,ROW(7:7),)),IF(ROW(7:7)=TS_DiemBC+1,"TỔNG CỘNG",""))</f>
        <v>TỔ BC SỐ 7</v>
      </c>
      <c r="B18" s="258"/>
      <c r="C18" s="258"/>
      <c r="D18" s="261"/>
      <c r="E18" s="261"/>
      <c r="F18" s="265"/>
      <c r="G18" s="261"/>
      <c r="H18" s="261"/>
      <c r="I18" s="265"/>
      <c r="J18" s="261"/>
      <c r="K18" s="261"/>
      <c r="L18" s="261"/>
      <c r="M18" s="261"/>
      <c r="N18" s="261"/>
      <c r="O18" s="261"/>
      <c r="P18" s="261"/>
      <c r="Q18" s="261"/>
      <c r="R18" s="265"/>
      <c r="S18" s="265"/>
      <c r="T18" s="261"/>
      <c r="U18" s="261"/>
      <c r="V18" s="261"/>
      <c r="W18" s="261"/>
      <c r="X18" s="261"/>
      <c r="Y18" s="261"/>
      <c r="Z18" s="261"/>
      <c r="AA18" s="261"/>
      <c r="AB18" s="261"/>
      <c r="AC18" s="261"/>
      <c r="AD18" s="262">
        <f t="shared" si="0"/>
      </c>
      <c r="AE18" s="263" t="str">
        <f ca="1">OFFSET(DSUCV!$B$3,MATCH(Ten_DVBC,DSUCV!$C$4:$C$68,)+ROW(7:7)-1,0)</f>
        <v>UV A22</v>
      </c>
    </row>
    <row r="19" spans="1:31" s="266" customFormat="1" ht="19.5" customHeight="1">
      <c r="A19" s="257" t="str">
        <f ca="1">IF(ROW(8:8)&lt;=TS_DiemBC,UPPER(OFFSET(TTinDV!$B$5,ROW(8:8),)),IF(ROW(8:8)=TS_DiemBC+1,"TỔNG CỘNG",""))</f>
        <v>TỔ BC SỐ 8</v>
      </c>
      <c r="B19" s="258"/>
      <c r="C19" s="258"/>
      <c r="D19" s="261"/>
      <c r="E19" s="261"/>
      <c r="F19" s="265"/>
      <c r="G19" s="261"/>
      <c r="H19" s="261"/>
      <c r="I19" s="265"/>
      <c r="J19" s="261"/>
      <c r="K19" s="261"/>
      <c r="L19" s="261"/>
      <c r="M19" s="261"/>
      <c r="N19" s="261"/>
      <c r="O19" s="261"/>
      <c r="P19" s="261"/>
      <c r="Q19" s="261"/>
      <c r="R19" s="265"/>
      <c r="S19" s="265"/>
      <c r="T19" s="261"/>
      <c r="U19" s="261"/>
      <c r="V19" s="261"/>
      <c r="W19" s="261"/>
      <c r="X19" s="261"/>
      <c r="Y19" s="261"/>
      <c r="Z19" s="261"/>
      <c r="AA19" s="261"/>
      <c r="AB19" s="261"/>
      <c r="AC19" s="261"/>
      <c r="AD19" s="262">
        <f t="shared" si="0"/>
      </c>
      <c r="AE19" s="263" t="str">
        <f ca="1">OFFSET(DSUCV!$B$3,MATCH(Ten_DVBC,DSUCV!$C$4:$C$68,)+ROW(8:8)-1,0)</f>
        <v>UV A23</v>
      </c>
    </row>
    <row r="20" spans="1:31" s="266" customFormat="1" ht="19.5" customHeight="1">
      <c r="A20" s="257" t="str">
        <f ca="1">IF(ROW(9:9)&lt;=TS_DiemBC,UPPER(OFFSET(TTinDV!$B$5,ROW(9:9),)),IF(ROW(9:9)=TS_DiemBC+1,"TỔNG CỘNG",""))</f>
        <v>TỔ BC SỐ 9</v>
      </c>
      <c r="B20" s="258"/>
      <c r="C20" s="258"/>
      <c r="D20" s="261"/>
      <c r="E20" s="261"/>
      <c r="F20" s="265"/>
      <c r="G20" s="261"/>
      <c r="H20" s="261"/>
      <c r="I20" s="265"/>
      <c r="J20" s="261"/>
      <c r="K20" s="261"/>
      <c r="L20" s="261"/>
      <c r="M20" s="261"/>
      <c r="N20" s="261"/>
      <c r="O20" s="261"/>
      <c r="P20" s="261"/>
      <c r="Q20" s="261"/>
      <c r="R20" s="265"/>
      <c r="S20" s="265"/>
      <c r="T20" s="261"/>
      <c r="U20" s="261"/>
      <c r="V20" s="261"/>
      <c r="W20" s="261"/>
      <c r="X20" s="261"/>
      <c r="Y20" s="261"/>
      <c r="Z20" s="261"/>
      <c r="AA20" s="261"/>
      <c r="AB20" s="261"/>
      <c r="AC20" s="261"/>
      <c r="AD20" s="262">
        <f t="shared" si="0"/>
      </c>
      <c r="AE20" s="263" t="str">
        <f ca="1">OFFSET(DSUCV!$B$3,MATCH(Ten_DVBC,DSUCV!$C$4:$C$68,)+ROW(9:9)-1,0)</f>
        <v>UV A24</v>
      </c>
    </row>
    <row r="21" spans="1:31" s="272" customFormat="1" ht="19.5" customHeight="1">
      <c r="A21" s="257" t="str">
        <f ca="1">IF(ROW(10:10)&lt;=TS_DiemBC,UPPER(OFFSET(TTinDV!$B$5,ROW(10:10),)),IF(ROW(10:10)=TS_DiemBC+1,"TỔNG CỘNG",""))</f>
        <v>TỔNG CỘNG</v>
      </c>
      <c r="B21" s="267"/>
      <c r="C21" s="267"/>
      <c r="D21" s="268"/>
      <c r="E21" s="268"/>
      <c r="F21" s="269"/>
      <c r="G21" s="268"/>
      <c r="H21" s="268"/>
      <c r="I21" s="269"/>
      <c r="J21" s="268"/>
      <c r="K21" s="268"/>
      <c r="L21" s="268"/>
      <c r="M21" s="268"/>
      <c r="N21" s="268"/>
      <c r="O21" s="268"/>
      <c r="P21" s="268"/>
      <c r="Q21" s="268"/>
      <c r="R21" s="269"/>
      <c r="S21" s="269"/>
      <c r="T21" s="268"/>
      <c r="U21" s="268"/>
      <c r="V21" s="268"/>
      <c r="W21" s="268"/>
      <c r="X21" s="268"/>
      <c r="Y21" s="268"/>
      <c r="Z21" s="268"/>
      <c r="AA21" s="268"/>
      <c r="AB21" s="268"/>
      <c r="AC21" s="268"/>
      <c r="AD21" s="270"/>
      <c r="AE21" s="271" t="str">
        <f ca="1">OFFSET(DSUCV!$B$3,MATCH(Ten_DVBC,DSUCV!$C$4:$C$68,)+ROW(10:10)-1,0)</f>
        <v>UV A25</v>
      </c>
    </row>
    <row r="22" spans="1:35" s="276" customFormat="1" ht="16.5" customHeight="1">
      <c r="A22" s="257">
        <f ca="1">IF(ROW(11:11)&lt;=TS_DiemBC,UPPER(OFFSET(TTinDV!$B$5,ROW(11:11),)),IF(ROW(11:11)=TS_DiemBC+1,"TỔNG CỘNG",""))</f>
      </c>
      <c r="B22" s="273"/>
      <c r="C22" s="273"/>
      <c r="D22" s="273"/>
      <c r="E22" s="273"/>
      <c r="F22" s="274"/>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5"/>
      <c r="AE22" s="263" t="str">
        <f ca="1">OFFSET(DSUCV!$B$3,MATCH(Ten_DVBC,DSUCV!$C$4:$C$68,)+ROW(11:11)-1,0)</f>
        <v>UV A26</v>
      </c>
      <c r="AF22" s="273"/>
      <c r="AG22" s="273"/>
      <c r="AH22" s="273"/>
      <c r="AI22" s="273"/>
    </row>
    <row r="23" spans="1:35" s="281" customFormat="1" ht="15.75">
      <c r="A23" s="257">
        <f ca="1">IF(ROW(12:12)&lt;=TS_DiemBC,UPPER(OFFSET(TTinDV!$B$5,ROW(12:12),)),IF(ROW(12:12)=TS_DiemBC+1,"TỔNG CỘNG",""))</f>
      </c>
      <c r="B23" s="277"/>
      <c r="C23" s="277"/>
      <c r="D23" s="277"/>
      <c r="E23" s="277"/>
      <c r="F23" s="278"/>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9"/>
      <c r="AE23" s="280"/>
      <c r="AF23" s="277"/>
      <c r="AG23" s="277"/>
      <c r="AH23" s="277"/>
      <c r="AI23" s="277"/>
    </row>
    <row r="24" spans="1:35" ht="15.75">
      <c r="A24" s="257">
        <f ca="1">IF(ROW(13:13)&lt;=TS_DiemBC,UPPER(OFFSET(TTinDV!$B$5,ROW(13:13),)),IF(ROW(13:13)=TS_DiemBC+1,"TỔNG CỘNG",""))</f>
      </c>
      <c r="B24" s="282"/>
      <c r="C24" s="282"/>
      <c r="D24" s="282"/>
      <c r="E24" s="282"/>
      <c r="F24" s="283"/>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4"/>
      <c r="AF24" s="282"/>
      <c r="AG24" s="282"/>
      <c r="AH24" s="282"/>
      <c r="AI24" s="282"/>
    </row>
    <row r="25" spans="1:35" ht="15.75">
      <c r="A25" s="257">
        <f ca="1">IF(ROW(14:14)&lt;=TS_DiemBC,UPPER(OFFSET(TTinDV!$B$5,ROW(14:14),)),IF(ROW(14:14)=TS_DiemBC+1,"TỔNG CỘNG",""))</f>
      </c>
      <c r="B25" s="282"/>
      <c r="C25" s="282"/>
      <c r="D25" s="282"/>
      <c r="E25" s="282"/>
      <c r="F25" s="283"/>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4"/>
      <c r="AF25" s="282"/>
      <c r="AG25" s="282"/>
      <c r="AH25" s="282"/>
      <c r="AI25" s="282"/>
    </row>
    <row r="26" spans="1:35" ht="15.75">
      <c r="A26" s="257">
        <f ca="1">IF(ROW(15:15)&lt;=TS_DiemBC,UPPER(OFFSET(TTinDV!$B$5,ROW(15:15),)),IF(ROW(15:15)=TS_DiemBC+1,"TỔNG CỘNG",""))</f>
      </c>
      <c r="B26" s="282"/>
      <c r="C26" s="282"/>
      <c r="D26" s="282"/>
      <c r="E26" s="282"/>
      <c r="F26" s="283"/>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4"/>
      <c r="AF26" s="282"/>
      <c r="AG26" s="282"/>
      <c r="AH26" s="282"/>
      <c r="AI26" s="282"/>
    </row>
    <row r="27" spans="1:35" ht="15.75">
      <c r="A27" s="257">
        <f ca="1">IF(ROW(16:16)&lt;=TS_DiemBC,UPPER(OFFSET(TTinDV!$B$5,ROW(16:16),)),IF(ROW(16:16)=TS_DiemBC+1,"TỔNG CỘNG",""))</f>
      </c>
      <c r="B27" s="282"/>
      <c r="C27" s="282"/>
      <c r="D27" s="282"/>
      <c r="E27" s="282"/>
      <c r="F27" s="283"/>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4"/>
      <c r="AF27" s="282"/>
      <c r="AG27" s="282"/>
      <c r="AH27" s="282"/>
      <c r="AI27" s="282"/>
    </row>
    <row r="28" spans="1:35" ht="15.75">
      <c r="A28" s="257">
        <f ca="1">IF(ROW(17:17)&lt;=TS_DiemBC,UPPER(OFFSET(TTinDV!$B$5,ROW(17:17),)),IF(ROW(17:17)=TS_DiemBC+1,"TỔNG CỘNG",""))</f>
      </c>
      <c r="B28" s="282"/>
      <c r="C28" s="282"/>
      <c r="D28" s="282"/>
      <c r="E28" s="282"/>
      <c r="F28" s="283"/>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4"/>
      <c r="AF28" s="282"/>
      <c r="AG28" s="282"/>
      <c r="AH28" s="282"/>
      <c r="AI28" s="282"/>
    </row>
    <row r="29" ht="15.75" hidden="1"/>
    <row r="30" ht="15.75" hidden="1"/>
    <row r="31" ht="15.75" hidden="1"/>
    <row r="32" ht="15.75" hidden="1"/>
    <row r="33" ht="15.75" hidden="1"/>
    <row r="34" ht="15.75" hidden="1"/>
    <row r="35" ht="15.75" hidden="1"/>
    <row r="36" ht="15.75" hidden="1"/>
    <row r="37" ht="15.75" hidden="1"/>
    <row r="38" ht="15.75" hidden="1"/>
    <row r="39" ht="15.75" hidden="1"/>
    <row r="40" ht="15.75" hidden="1"/>
    <row r="41" ht="15.75" hidden="1"/>
    <row r="42" ht="15.75" hidden="1"/>
    <row r="43" ht="15.75" hidden="1"/>
    <row r="44" ht="15.75" hidden="1"/>
    <row r="45" ht="15.75" hidden="1"/>
    <row r="46" ht="15.75" hidden="1"/>
    <row r="47" ht="15.75" hidden="1"/>
    <row r="48" ht="15.75" hidden="1"/>
    <row r="49" ht="15.75" hidden="1"/>
    <row r="50" ht="15.75" hidden="1"/>
    <row r="51" ht="15.75" hidden="1"/>
    <row r="52" ht="15.75" hidden="1"/>
    <row r="53" ht="15.75" hidden="1"/>
    <row r="54" ht="15.75" hidden="1"/>
    <row r="55" ht="15.75" hidden="1"/>
    <row r="56" ht="15.75" hidden="1"/>
    <row r="57" ht="15.75" hidden="1"/>
    <row r="58" ht="15.75" hidden="1"/>
    <row r="59" ht="15.75" hidden="1"/>
    <row r="60" ht="15.75" hidden="1"/>
    <row r="61" ht="15.75" hidden="1"/>
    <row r="62" ht="15.75" hidden="1"/>
    <row r="63" ht="15.75" hidden="1"/>
    <row r="64" ht="15.75" hidden="1"/>
    <row r="65" ht="15.75" hidden="1"/>
    <row r="66" ht="15.75" hidden="1"/>
    <row r="67" ht="15.75" hidden="1"/>
    <row r="68" ht="15.75" hidden="1"/>
    <row r="69" ht="15.75" hidden="1"/>
    <row r="70" ht="15.75" hidden="1"/>
    <row r="71" ht="15.75" hidden="1"/>
    <row r="72" ht="15.75" hidden="1"/>
    <row r="73" ht="15.75" hidden="1"/>
    <row r="74" ht="15.75" hidden="1"/>
    <row r="75" ht="15.75" hidden="1"/>
    <row r="76" ht="15.75" hidden="1"/>
    <row r="77" ht="15.75" hidden="1"/>
    <row r="78" ht="15.75" hidden="1"/>
    <row r="79" ht="15.75" hidden="1"/>
    <row r="80" ht="15.75" hidden="1"/>
    <row r="81" ht="15.75" hidden="1"/>
    <row r="82" ht="15.75" hidden="1"/>
    <row r="83" ht="15.75" hidden="1"/>
    <row r="84" ht="15.75" hidden="1"/>
    <row r="85" ht="15.75" hidden="1"/>
    <row r="86" ht="15.75" hidden="1"/>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row r="151" ht="15.75" hidden="1"/>
    <row r="152" ht="15.75" hidden="1"/>
    <row r="153" ht="15.75" hidden="1"/>
    <row r="154" ht="15.75" hidden="1"/>
    <row r="155" ht="15.75" hidden="1"/>
    <row r="156" ht="15.75" hidden="1"/>
    <row r="157" ht="15.75" hidden="1"/>
    <row r="158" ht="15.75" hidden="1"/>
    <row r="159" ht="15.75" hidden="1"/>
    <row r="160" ht="15.75" hidden="1"/>
    <row r="161" ht="15.75" hidden="1"/>
    <row r="162" ht="15.75" hidden="1"/>
    <row r="163" ht="15.75" hidden="1"/>
    <row r="164" ht="15.75" hidden="1"/>
    <row r="165" ht="15.75" hidden="1"/>
    <row r="166" ht="15.75" hidden="1"/>
    <row r="167" ht="15.75" hidden="1"/>
    <row r="168" ht="15.75" hidden="1"/>
    <row r="169" ht="15.75" hidden="1"/>
    <row r="170" ht="15.75" hidden="1"/>
    <row r="171" ht="15.75" hidden="1"/>
    <row r="172" ht="15.75" hidden="1"/>
    <row r="173" ht="15.75" hidden="1"/>
    <row r="174" ht="15.75" hidden="1"/>
    <row r="175" ht="15.75" hidden="1"/>
    <row r="176" ht="15.75" hidden="1"/>
    <row r="177" ht="15.75" hidden="1"/>
    <row r="178" ht="15.75" hidden="1"/>
    <row r="179" ht="15.75" hidden="1"/>
    <row r="180" ht="15.75" hidden="1"/>
    <row r="181" ht="15.75" hidden="1"/>
    <row r="182" ht="15.75" hidden="1"/>
    <row r="183" ht="15.75" hidden="1"/>
    <row r="184" ht="15.75" hidden="1"/>
    <row r="185" ht="15.75" hidden="1"/>
    <row r="186" ht="15.75" hidden="1"/>
    <row r="187" ht="15.75" hidden="1"/>
    <row r="188" ht="15.75" hidden="1"/>
  </sheetData>
  <sheetProtection/>
  <mergeCells count="29">
    <mergeCell ref="AB7:AB10"/>
    <mergeCell ref="J8:J10"/>
    <mergeCell ref="T6:T10"/>
    <mergeCell ref="O9:O10"/>
    <mergeCell ref="G6:S6"/>
    <mergeCell ref="X7:X10"/>
    <mergeCell ref="Y7:Y10"/>
    <mergeCell ref="Z7:Z10"/>
    <mergeCell ref="L9:L10"/>
    <mergeCell ref="N9:N10"/>
    <mergeCell ref="AC6:AC10"/>
    <mergeCell ref="G7:G10"/>
    <mergeCell ref="H7:H10"/>
    <mergeCell ref="I7:I10"/>
    <mergeCell ref="P7:P10"/>
    <mergeCell ref="Q7:Q10"/>
    <mergeCell ref="R7:R10"/>
    <mergeCell ref="U7:U10"/>
    <mergeCell ref="AA7:AA10"/>
    <mergeCell ref="V7:V10"/>
    <mergeCell ref="W7:W10"/>
    <mergeCell ref="B6:B10"/>
    <mergeCell ref="C6:C10"/>
    <mergeCell ref="D6:D10"/>
    <mergeCell ref="E6:E10"/>
    <mergeCell ref="F6:F10"/>
    <mergeCell ref="S7:S10"/>
    <mergeCell ref="K9:K10"/>
    <mergeCell ref="M9:M10"/>
  </mergeCells>
  <conditionalFormatting sqref="A12:AC12 B13:AC26 A13:A28">
    <cfRule type="expression" priority="1" dxfId="24">
      <formula>$A12="TỔNG CỘNG"</formula>
    </cfRule>
    <cfRule type="expression" priority="2" dxfId="25">
      <formula>$A12&lt;&gt;""</formula>
    </cfRule>
  </conditionalFormatting>
  <dataValidations count="1">
    <dataValidation type="list" allowBlank="1" showInputMessage="1" showErrorMessage="1" sqref="A7">
      <formula1>DS_Xa</formula1>
    </dataValidation>
  </dataValidations>
  <printOptions/>
  <pageMargins left="0.25" right="0.16" top="0.31" bottom="0.25" header="0" footer="0"/>
  <pageSetup fitToHeight="0" fitToWidth="1" horizontalDpi="1200" verticalDpi="1200" orientation="landscape" paperSize="8" scale="86"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H85"/>
  <sheetViews>
    <sheetView showGridLines="0" showRowColHeaders="0" zoomScale="80" zoomScaleNormal="80" zoomScalePageLayoutView="0" workbookViewId="0" topLeftCell="A26">
      <selection activeCell="G50" sqref="G50"/>
    </sheetView>
  </sheetViews>
  <sheetFormatPr defaultColWidth="0" defaultRowHeight="15.75"/>
  <cols>
    <col min="1" max="1" width="4.875" style="168" customWidth="1"/>
    <col min="2" max="2" width="3.875" style="168" customWidth="1"/>
    <col min="3" max="3" width="5.125" style="168" customWidth="1"/>
    <col min="4" max="4" width="20.00390625" style="168" customWidth="1"/>
    <col min="5" max="5" width="6.00390625" style="168" customWidth="1"/>
    <col min="6" max="6" width="9.50390625" style="168" customWidth="1"/>
    <col min="7" max="7" width="5.50390625" style="168" customWidth="1"/>
    <col min="8" max="8" width="28.625" style="168" customWidth="1"/>
    <col min="9" max="9" width="0.5" style="168" customWidth="1"/>
    <col min="10" max="16384" width="0" style="168" hidden="1" customWidth="1"/>
  </cols>
  <sheetData>
    <row r="1" spans="1:8" ht="16.5">
      <c r="A1" s="154"/>
      <c r="B1" s="154"/>
      <c r="C1" s="154"/>
      <c r="D1" s="154"/>
      <c r="E1" s="154"/>
      <c r="F1" s="154"/>
      <c r="G1" s="154"/>
      <c r="H1" s="154"/>
    </row>
    <row r="2" spans="1:8" ht="16.5">
      <c r="A2" s="155"/>
      <c r="B2" s="155"/>
      <c r="C2" s="154"/>
      <c r="D2" s="154"/>
      <c r="E2" s="154"/>
      <c r="F2" s="154"/>
      <c r="G2" s="154"/>
      <c r="H2" s="167" t="s">
        <v>368</v>
      </c>
    </row>
    <row r="3" spans="1:8" ht="17.25" customHeight="1">
      <c r="A3" s="156" t="s">
        <v>369</v>
      </c>
      <c r="B3" s="156"/>
      <c r="C3" s="154"/>
      <c r="D3" s="154"/>
      <c r="E3" s="393" t="s">
        <v>311</v>
      </c>
      <c r="F3" s="393"/>
      <c r="G3" s="393"/>
      <c r="H3" s="393"/>
    </row>
    <row r="4" spans="1:8" ht="17.25" customHeight="1">
      <c r="A4" s="156" t="s">
        <v>370</v>
      </c>
      <c r="B4" s="156"/>
      <c r="C4" s="154"/>
      <c r="D4" s="154"/>
      <c r="E4" s="393" t="s">
        <v>310</v>
      </c>
      <c r="F4" s="393"/>
      <c r="G4" s="393"/>
      <c r="H4" s="393"/>
    </row>
    <row r="5" spans="1:8" ht="17.25" customHeight="1">
      <c r="A5" s="169" t="str">
        <f>TenXa</f>
        <v>xã Hướng Phùng</v>
      </c>
      <c r="B5" s="156"/>
      <c r="C5" s="157"/>
      <c r="D5" s="154"/>
      <c r="E5" s="154"/>
      <c r="F5" s="154"/>
      <c r="G5" s="154"/>
      <c r="H5" s="154"/>
    </row>
    <row r="6" spans="1:8" ht="10.5" customHeight="1">
      <c r="A6" s="156"/>
      <c r="B6" s="156"/>
      <c r="C6" s="154"/>
      <c r="D6" s="154"/>
      <c r="E6" s="154"/>
      <c r="F6" s="154"/>
      <c r="G6" s="154"/>
      <c r="H6" s="154"/>
    </row>
    <row r="7" spans="1:8" ht="18.75">
      <c r="A7" s="154"/>
      <c r="B7" s="398" t="s">
        <v>371</v>
      </c>
      <c r="C7" s="398"/>
      <c r="D7" s="398"/>
      <c r="E7" s="398"/>
      <c r="F7" s="398"/>
      <c r="G7" s="398"/>
      <c r="H7" s="398"/>
    </row>
    <row r="8" spans="1:8" ht="34.5" customHeight="1">
      <c r="A8" s="154"/>
      <c r="B8" s="399" t="s">
        <v>372</v>
      </c>
      <c r="C8" s="399"/>
      <c r="D8" s="399"/>
      <c r="E8" s="399"/>
      <c r="F8" s="399"/>
      <c r="G8" s="399"/>
      <c r="H8" s="399"/>
    </row>
    <row r="9" spans="1:8" ht="16.5">
      <c r="A9" s="154"/>
      <c r="B9" s="393" t="s">
        <v>373</v>
      </c>
      <c r="C9" s="393"/>
      <c r="D9" s="393"/>
      <c r="E9" s="393"/>
      <c r="F9" s="393"/>
      <c r="G9" s="393"/>
      <c r="H9" s="393"/>
    </row>
    <row r="10" spans="1:8" ht="12" customHeight="1">
      <c r="A10" s="154"/>
      <c r="B10" s="156"/>
      <c r="C10" s="156"/>
      <c r="D10" s="154"/>
      <c r="E10" s="154"/>
      <c r="F10" s="154"/>
      <c r="G10" s="154"/>
      <c r="H10" s="154"/>
    </row>
    <row r="11" spans="1:8" ht="16.5">
      <c r="A11" s="154"/>
      <c r="B11" s="154" t="s">
        <v>374</v>
      </c>
      <c r="C11" s="154"/>
      <c r="D11" s="154"/>
      <c r="E11" s="154"/>
      <c r="F11" s="154"/>
      <c r="G11" s="154"/>
      <c r="H11" s="154"/>
    </row>
    <row r="12" spans="1:8" ht="18" customHeight="1">
      <c r="A12" s="154"/>
      <c r="B12" s="154" t="s">
        <v>375</v>
      </c>
      <c r="C12" s="154"/>
      <c r="D12" s="154"/>
      <c r="E12" s="154"/>
      <c r="F12" s="154"/>
      <c r="G12" s="154"/>
      <c r="H12" s="154"/>
    </row>
    <row r="13" spans="1:8" ht="18" customHeight="1">
      <c r="A13" s="154"/>
      <c r="B13" s="154" t="s">
        <v>376</v>
      </c>
      <c r="C13" s="154"/>
      <c r="D13" s="154"/>
      <c r="E13" s="154"/>
      <c r="F13" s="154"/>
      <c r="G13" s="154"/>
      <c r="H13" s="154"/>
    </row>
    <row r="14" spans="1:8" ht="18" customHeight="1">
      <c r="A14" s="154"/>
      <c r="B14" s="154" t="s">
        <v>377</v>
      </c>
      <c r="C14" s="154"/>
      <c r="D14" s="154"/>
      <c r="E14" s="154"/>
      <c r="F14" s="154"/>
      <c r="G14" s="154"/>
      <c r="H14" s="154"/>
    </row>
    <row r="15" spans="1:8" ht="18" customHeight="1">
      <c r="A15" s="154"/>
      <c r="B15" s="175">
        <f>TTinDV!A6</f>
        <v>1</v>
      </c>
      <c r="C15" s="166" t="str">
        <f>IF(ISNUMBER(SEARCH("thị",TTinDV!I6))," Bà:   ","Ông: ")&amp;TTinDV!I6</f>
        <v>Ông: Trần Văn Hoàng</v>
      </c>
      <c r="D15" s="166"/>
      <c r="E15" s="166"/>
      <c r="F15" s="166"/>
      <c r="G15" s="166" t="str">
        <f>TTinDV!J6</f>
        <v>Chủ tịch</v>
      </c>
      <c r="H15" s="166"/>
    </row>
    <row r="16" spans="1:8" ht="18" customHeight="1">
      <c r="A16" s="154"/>
      <c r="B16" s="175">
        <f>TTinDV!A7</f>
        <v>2</v>
      </c>
      <c r="C16" s="166" t="str">
        <f>IF(ISNUMBER(SEARCH("thị",TTinDV!I7))," Bà:   ","Ông: ")&amp;TTinDV!I7</f>
        <v> Bà:   Hồ Thị Trương</v>
      </c>
      <c r="D16" s="166"/>
      <c r="E16" s="166"/>
      <c r="F16" s="166"/>
      <c r="G16" s="166" t="str">
        <f>TTinDV!J7</f>
        <v>P Chủ tịch</v>
      </c>
      <c r="H16" s="166"/>
    </row>
    <row r="17" spans="1:8" ht="18" customHeight="1">
      <c r="A17" s="154"/>
      <c r="B17" s="175">
        <f>TTinDV!A8</f>
        <v>3</v>
      </c>
      <c r="C17" s="166" t="str">
        <f>IF(ISNUMBER(SEARCH("thị",TTinDV!I8))," Bà:   ","Ông: ")&amp;TTinDV!I8</f>
        <v>Ông: </v>
      </c>
      <c r="D17" s="166"/>
      <c r="E17" s="166"/>
      <c r="F17" s="166"/>
      <c r="G17" s="166">
        <f>TTinDV!J8</f>
        <v>0</v>
      </c>
      <c r="H17" s="166"/>
    </row>
    <row r="18" spans="1:8" ht="18" customHeight="1">
      <c r="A18" s="154"/>
      <c r="B18" s="175">
        <f>TTinDV!A9</f>
        <v>4</v>
      </c>
      <c r="C18" s="166" t="str">
        <f>IF(ISNUMBER(SEARCH("thị",TTinDV!I9))," Bà:   ","Ông: ")&amp;TTinDV!I9</f>
        <v>Ông: </v>
      </c>
      <c r="D18" s="166"/>
      <c r="E18" s="166"/>
      <c r="F18" s="166"/>
      <c r="G18" s="166">
        <f>TTinDV!J9</f>
        <v>0</v>
      </c>
      <c r="H18" s="166"/>
    </row>
    <row r="19" spans="1:8" ht="18" customHeight="1">
      <c r="A19" s="154"/>
      <c r="B19" s="175">
        <f>TTinDV!A10</f>
        <v>5</v>
      </c>
      <c r="C19" s="166" t="str">
        <f>IF(ISNUMBER(SEARCH("thị",TTinDV!I10))," Bà:   ","Ông: ")&amp;TTinDV!I10</f>
        <v>Ông: </v>
      </c>
      <c r="D19" s="166"/>
      <c r="E19" s="166"/>
      <c r="F19" s="166"/>
      <c r="G19" s="166">
        <f>TTinDV!J10</f>
        <v>0</v>
      </c>
      <c r="H19" s="166"/>
    </row>
    <row r="20" spans="1:8" ht="18" customHeight="1">
      <c r="A20" s="154"/>
      <c r="B20" s="175">
        <f>TTinDV!A11</f>
        <v>6</v>
      </c>
      <c r="C20" s="166" t="str">
        <f>IF(ISNUMBER(SEARCH("thị",TTinDV!I11))," Bà:   ","Ông: ")&amp;TTinDV!I11</f>
        <v>Ông: </v>
      </c>
      <c r="D20" s="166"/>
      <c r="E20" s="166"/>
      <c r="F20" s="166"/>
      <c r="G20" s="166">
        <f>TTinDV!J11</f>
        <v>0</v>
      </c>
      <c r="H20" s="166"/>
    </row>
    <row r="21" spans="1:8" ht="18" customHeight="1">
      <c r="A21" s="154"/>
      <c r="B21" s="175">
        <f>TTinDV!A12</f>
        <v>7</v>
      </c>
      <c r="C21" s="166" t="str">
        <f>IF(ISNUMBER(SEARCH("thị",TTinDV!I12))," Bà:   ","Ông: ")&amp;TTinDV!I12</f>
        <v>Ông: </v>
      </c>
      <c r="D21" s="166"/>
      <c r="E21" s="166"/>
      <c r="F21" s="166"/>
      <c r="G21" s="166">
        <f>TTinDV!J12</f>
        <v>0</v>
      </c>
      <c r="H21" s="166"/>
    </row>
    <row r="22" spans="1:8" ht="18" customHeight="1">
      <c r="A22" s="154"/>
      <c r="B22" s="175">
        <f>TTinDV!A13</f>
        <v>8</v>
      </c>
      <c r="C22" s="166" t="str">
        <f>IF(ISNUMBER(SEARCH("thị",TTinDV!I13))," Bà:   ","Ông: ")&amp;TTinDV!I13</f>
        <v>Ông: </v>
      </c>
      <c r="D22" s="166"/>
      <c r="E22" s="166"/>
      <c r="F22" s="166"/>
      <c r="G22" s="166">
        <f>TTinDV!J13</f>
        <v>0</v>
      </c>
      <c r="H22" s="166"/>
    </row>
    <row r="23" spans="1:8" ht="18" customHeight="1">
      <c r="A23" s="154"/>
      <c r="B23" s="175">
        <f>TTinDV!A14</f>
        <v>9</v>
      </c>
      <c r="C23" s="166" t="str">
        <f>IF(ISNUMBER(SEARCH("thị",TTinDV!I14))," Bà:   ","Ông: ")&amp;TTinDV!I14</f>
        <v>Ông: </v>
      </c>
      <c r="D23" s="166"/>
      <c r="E23" s="166"/>
      <c r="F23" s="166"/>
      <c r="G23" s="166">
        <f>TTinDV!J14</f>
        <v>0</v>
      </c>
      <c r="H23" s="166"/>
    </row>
    <row r="24" spans="1:8" ht="18" customHeight="1">
      <c r="A24" s="154"/>
      <c r="B24" s="175">
        <f>TTinDV!A15</f>
        <v>0</v>
      </c>
      <c r="C24" s="166" t="str">
        <f>IF(ISNUMBER(SEARCH("thị",TTinDV!I15))," Bà:   ","Ông: ")&amp;TTinDV!I15</f>
        <v>Ông: </v>
      </c>
      <c r="D24" s="166"/>
      <c r="E24" s="166"/>
      <c r="F24" s="166"/>
      <c r="G24" s="166">
        <f>TTinDV!J15</f>
        <v>0</v>
      </c>
      <c r="H24" s="166"/>
    </row>
    <row r="25" spans="1:8" ht="18" customHeight="1">
      <c r="A25" s="154"/>
      <c r="B25" s="175">
        <f>TTinDV!A16</f>
        <v>0</v>
      </c>
      <c r="C25" s="166" t="str">
        <f>IF(ISNUMBER(SEARCH("thị",TTinDV!I16))," Bà:   ","Ông: ")&amp;TTinDV!I16</f>
        <v>Ông: </v>
      </c>
      <c r="D25" s="166"/>
      <c r="E25" s="166"/>
      <c r="F25" s="166"/>
      <c r="G25" s="166">
        <f>TTinDV!J16</f>
        <v>0</v>
      </c>
      <c r="H25" s="166"/>
    </row>
    <row r="26" spans="1:8" ht="18" customHeight="1">
      <c r="A26" s="154"/>
      <c r="B26" s="175">
        <f>TTinDV!A17</f>
        <v>0</v>
      </c>
      <c r="C26" s="166" t="str">
        <f>IF(ISNUMBER(SEARCH("thị",TTinDV!I17))," Bà:   ","Ông: ")&amp;TTinDV!I17</f>
        <v>Ông: </v>
      </c>
      <c r="D26" s="166"/>
      <c r="E26" s="166"/>
      <c r="F26" s="166"/>
      <c r="G26" s="166">
        <f>TTinDV!J17</f>
        <v>0</v>
      </c>
      <c r="H26" s="166"/>
    </row>
    <row r="27" spans="1:8" ht="18" customHeight="1">
      <c r="A27" s="154"/>
      <c r="B27" s="175">
        <f>TTinDV!A18</f>
        <v>0</v>
      </c>
      <c r="C27" s="166" t="str">
        <f>IF(ISNUMBER(SEARCH("thị",TTinDV!I18))," Bà:   ","Ông: ")&amp;TTinDV!I18</f>
        <v>Ông: </v>
      </c>
      <c r="D27" s="166"/>
      <c r="E27" s="166"/>
      <c r="F27" s="166"/>
      <c r="G27" s="166">
        <f>TTinDV!J18</f>
        <v>0</v>
      </c>
      <c r="H27" s="166"/>
    </row>
    <row r="28" spans="1:8" ht="65.25" customHeight="1">
      <c r="A28" s="400" t="s">
        <v>406</v>
      </c>
      <c r="B28" s="400"/>
      <c r="C28" s="400"/>
      <c r="D28" s="400"/>
      <c r="E28" s="400"/>
      <c r="F28" s="400"/>
      <c r="G28" s="400"/>
      <c r="H28" s="400"/>
    </row>
    <row r="29" spans="1:8" ht="34.5" customHeight="1">
      <c r="A29" s="395" t="s">
        <v>399</v>
      </c>
      <c r="B29" s="395"/>
      <c r="C29" s="395"/>
      <c r="D29" s="395"/>
      <c r="E29" s="395"/>
      <c r="F29" s="395"/>
      <c r="G29" s="395"/>
      <c r="H29" s="395"/>
    </row>
    <row r="30" spans="1:8" ht="18" customHeight="1">
      <c r="A30" s="154"/>
      <c r="B30" s="156" t="s">
        <v>378</v>
      </c>
      <c r="C30" s="156"/>
      <c r="D30" s="154"/>
      <c r="E30" s="154"/>
      <c r="F30" s="154"/>
      <c r="G30" s="154"/>
      <c r="H30" s="154"/>
    </row>
    <row r="31" spans="1:8" ht="18" customHeight="1">
      <c r="A31" s="154"/>
      <c r="B31" s="156" t="s">
        <v>379</v>
      </c>
      <c r="C31" s="156"/>
      <c r="D31" s="154"/>
      <c r="E31" s="154"/>
      <c r="F31" s="154"/>
      <c r="G31" s="154"/>
      <c r="H31" s="154"/>
    </row>
    <row r="32" spans="1:8" ht="18" customHeight="1">
      <c r="A32" s="154"/>
      <c r="B32" s="156" t="s">
        <v>380</v>
      </c>
      <c r="C32" s="156"/>
      <c r="D32" s="154"/>
      <c r="E32" s="154"/>
      <c r="F32" s="154"/>
      <c r="G32" s="154"/>
      <c r="H32" s="154"/>
    </row>
    <row r="33" spans="1:8" ht="35.25" customHeight="1">
      <c r="A33" s="395" t="s">
        <v>400</v>
      </c>
      <c r="B33" s="395"/>
      <c r="C33" s="395"/>
      <c r="D33" s="395"/>
      <c r="E33" s="395"/>
      <c r="F33" s="395"/>
      <c r="G33" s="395"/>
      <c r="H33" s="395"/>
    </row>
    <row r="34" spans="1:8" ht="34.5" customHeight="1">
      <c r="A34" s="395" t="s">
        <v>401</v>
      </c>
      <c r="B34" s="395"/>
      <c r="C34" s="395"/>
      <c r="D34" s="395"/>
      <c r="E34" s="395"/>
      <c r="F34" s="395"/>
      <c r="G34" s="395"/>
      <c r="H34" s="395"/>
    </row>
    <row r="35" spans="1:8" s="170" customFormat="1" ht="18" customHeight="1">
      <c r="A35" s="158"/>
      <c r="B35" s="154" t="s">
        <v>381</v>
      </c>
      <c r="C35" s="154"/>
      <c r="D35" s="154"/>
      <c r="E35" s="154"/>
      <c r="F35" s="154"/>
      <c r="G35" s="154"/>
      <c r="H35" s="154"/>
    </row>
    <row r="36" spans="1:8" s="170" customFormat="1" ht="18" customHeight="1">
      <c r="A36" s="158"/>
      <c r="B36" s="154" t="s">
        <v>382</v>
      </c>
      <c r="C36" s="154"/>
      <c r="D36" s="154"/>
      <c r="E36" s="154"/>
      <c r="F36" s="154"/>
      <c r="G36" s="154"/>
      <c r="H36" s="154"/>
    </row>
    <row r="37" spans="1:8" ht="34.5" customHeight="1">
      <c r="A37" s="395" t="s">
        <v>405</v>
      </c>
      <c r="B37" s="395"/>
      <c r="C37" s="395"/>
      <c r="D37" s="395"/>
      <c r="E37" s="395"/>
      <c r="F37" s="395"/>
      <c r="G37" s="395"/>
      <c r="H37" s="395"/>
    </row>
    <row r="38" spans="1:8" ht="18" customHeight="1">
      <c r="A38" s="158"/>
      <c r="B38" s="159" t="s">
        <v>383</v>
      </c>
      <c r="C38" s="159"/>
      <c r="D38" s="154"/>
      <c r="E38" s="154"/>
      <c r="F38" s="154"/>
      <c r="G38" s="154"/>
      <c r="H38" s="154"/>
    </row>
    <row r="39" spans="1:8" ht="18" customHeight="1">
      <c r="A39" s="158"/>
      <c r="B39" s="171" t="str">
        <f>"- Số đại biểu Hội đồng nhân dân được ấn định cho đơn vị bầu cử là: "&amp;TS_DBduocbau&amp;" người"</f>
        <v>- Số đại biểu Hội đồng nhân dân được ấn định cho đơn vị bầu cử là: 27 người</v>
      </c>
      <c r="C39" s="160"/>
      <c r="D39" s="154"/>
      <c r="E39" s="154"/>
      <c r="F39" s="154"/>
      <c r="G39" s="154"/>
      <c r="H39" s="154"/>
    </row>
    <row r="40" spans="1:8" ht="18" customHeight="1">
      <c r="A40" s="158"/>
      <c r="B40" s="171" t="str">
        <f>"- Số người ứng cử:    "&amp;TS_UCV&amp;"  người"</f>
        <v>- Số người ứng cử:    45  người</v>
      </c>
      <c r="C40" s="154"/>
      <c r="D40" s="154"/>
      <c r="E40" s="154"/>
      <c r="F40" s="154"/>
      <c r="G40" s="154"/>
      <c r="H40" s="154"/>
    </row>
    <row r="41" spans="1:8" ht="18" customHeight="1">
      <c r="A41" s="158"/>
      <c r="B41" s="171" t="str">
        <f ca="1">"- Tổng số cử tri của khu vực bỏ phiếu:   "&amp;OFFSET(MauTH!$A$11,MATCH("tổng cộng",MauTH!$A$12:$A$28,),3)&amp;" người"</f>
        <v>- Tổng số cử tri của khu vực bỏ phiếu:    người</v>
      </c>
      <c r="C41" s="154"/>
      <c r="D41" s="154"/>
      <c r="E41" s="154"/>
      <c r="F41" s="154"/>
      <c r="G41" s="154"/>
      <c r="H41" s="154"/>
    </row>
    <row r="42" spans="1:8" ht="18" customHeight="1">
      <c r="A42" s="158"/>
      <c r="B42" s="171" t="str">
        <f ca="1">"- Số lượng cử tri đã tham gia bỏ phiếu:  "&amp;OFFSET(MauTH!$A$11,MATCH("tổng cộng",MauTH!$A$12:$A$28,),4)&amp;" người"</f>
        <v>- Số lượng cử tri đã tham gia bỏ phiếu:   người</v>
      </c>
      <c r="C42" s="166"/>
      <c r="D42" s="166"/>
      <c r="E42" s="166"/>
      <c r="F42" s="166"/>
      <c r="G42" s="166"/>
      <c r="H42" s="166"/>
    </row>
    <row r="43" spans="1:8" ht="18" customHeight="1">
      <c r="A43" s="158"/>
      <c r="B43" s="171" t="str">
        <f ca="1">"- Tỷ lệ cử tri đã tham gia bỏ phiếu so với tổng số cử tri:  "&amp;ROUND(OFFSET(MauTH!$A$11,MATCH("tổng cộng",MauTH!$A$12:$A$28,),5),2)&amp;" % "</f>
        <v>- Tỷ lệ cử tri đã tham gia bỏ phiếu so với tổng số cử tri:  0 % </v>
      </c>
      <c r="C43" s="166"/>
      <c r="D43" s="166"/>
      <c r="E43" s="166"/>
      <c r="F43" s="166"/>
      <c r="G43" s="166"/>
      <c r="H43" s="166"/>
    </row>
    <row r="44" spans="1:8" ht="18" customHeight="1">
      <c r="A44" s="158"/>
      <c r="B44" s="171" t="str">
        <f ca="1">"- Số phiếu phát ra:      "&amp;OFFSET(MauTH!$A$11,MATCH("tổng cộng",MauTH!$A$12:$A$28,),6)&amp;" phiếu"</f>
        <v>- Số phiếu phát ra:       phiếu</v>
      </c>
      <c r="C44" s="166"/>
      <c r="D44" s="166"/>
      <c r="E44" s="166"/>
      <c r="F44" s="166"/>
      <c r="G44" s="166"/>
      <c r="H44" s="166"/>
    </row>
    <row r="45" spans="1:8" ht="18" customHeight="1">
      <c r="A45" s="158"/>
      <c r="B45" s="171" t="str">
        <f ca="1">"- Số phiếu thu vào:   "&amp;OFFSET(MauTH!$A$11,MATCH("tổng cộng",MauTH!$A$12:$A$28,),7)&amp;" phiếu"</f>
        <v>- Số phiếu thu vào:    phiếu</v>
      </c>
      <c r="C45" s="166"/>
      <c r="D45" s="166"/>
      <c r="E45" s="166"/>
      <c r="F45" s="166"/>
      <c r="G45" s="166"/>
      <c r="H45" s="166"/>
    </row>
    <row r="46" spans="1:8" ht="18" customHeight="1">
      <c r="A46" s="158"/>
      <c r="B46" s="166" t="str">
        <f ca="1">"     - Số phiếu hợp lệ:  "&amp;OFFSET(MauTH!$A$11,MATCH("tổng cộng",MauTH!$A$12:$A$28,),9)&amp;" phiếu.  Tỷ lệ so với tổng số phiếu thu vào:  "&amp;ROUND(OFFSET(MauTH!$A$11,MATCH("tổng cộng",MauTH!$A$12:$A$28,),17),2)&amp;"%"</f>
        <v>     - Số phiếu hợp lệ:   phiếu.  Tỷ lệ so với tổng số phiếu thu vào:  0%</v>
      </c>
      <c r="C46" s="166"/>
      <c r="D46" s="166"/>
      <c r="E46" s="166"/>
      <c r="F46" s="166"/>
      <c r="G46" s="166"/>
      <c r="H46" s="166"/>
    </row>
    <row r="47" spans="1:8" ht="18" customHeight="1">
      <c r="A47" s="158"/>
      <c r="B47" s="166" t="str">
        <f ca="1">"     - Số phiếu không hợp lệ:  "&amp;IF(OFFSET(MauTH!$A$11,MATCH("tổng cộng",MauTH!$A$12:$A$28,),15)=0,".........",OFFSET(MauTH!$A$11,MATCH("tổng cộng",MauTH!$A$12:$A$28,),15))&amp;" phiếu. Tỷ lệ so với tổng số phiếu thu vào: "&amp;IF(OFFSET(MauTH!$A$11,MATCH("tổng cộng",MauTH!$A$12:$A$28,),15)=0,".........",ROUND(OFFSET(MauTH!$A$11,MATCH("tổng cộng",MauTH!$A$12:$A$28,),18),2)&amp;"%")</f>
        <v>     - Số phiếu không hợp lệ:  ......... phiếu. Tỷ lệ so với tổng số phiếu thu vào: .........</v>
      </c>
      <c r="C47" s="166"/>
      <c r="D47" s="166"/>
      <c r="E47" s="166"/>
      <c r="F47" s="166"/>
      <c r="G47" s="166"/>
      <c r="H47" s="166"/>
    </row>
    <row r="48" spans="1:8" ht="18" customHeight="1">
      <c r="A48" s="158"/>
      <c r="B48" s="160" t="s">
        <v>384</v>
      </c>
      <c r="C48" s="154"/>
      <c r="D48" s="154"/>
      <c r="E48" s="154"/>
      <c r="F48" s="154"/>
      <c r="G48" s="154"/>
      <c r="H48" s="154"/>
    </row>
    <row r="49" spans="1:8" ht="18" customHeight="1">
      <c r="A49" s="158"/>
      <c r="B49" s="174">
        <f>IF(ROW(1:1)&gt;TS_UCV,"",COUNTA($D$49:D49))</f>
        <v>1</v>
      </c>
      <c r="C49" s="166" t="str">
        <f>IF(ISNUMBER(SEARCH("thị",DSUCV!B4))," Bà:   ","Ông: ")</f>
        <v>Ông: </v>
      </c>
      <c r="D49" s="166" t="str">
        <f>IF(ROW(1:1)&gt;TS_UCV,"",DSUCV!B4)</f>
        <v>Hoang BooKi</v>
      </c>
      <c r="E49" s="166"/>
      <c r="F49" s="172" t="s">
        <v>398</v>
      </c>
      <c r="G49" s="172">
        <f>SUMIF(DSUCV!$B$4:$B$61,Mau25!$D49,DSUCV!$Y$4:$Y$61)</f>
        <v>0.00042496</v>
      </c>
      <c r="H49" s="173" t="str">
        <f>"phiếu/"&amp;SUMIF(DSUCV!$B$4:$B$61,Mau25!$D49,DSUCV!$X$4:$X$61)&amp;" phiếu hợp lệ"</f>
        <v>phiếu/0 phiếu hợp lệ</v>
      </c>
    </row>
    <row r="50" spans="1:8" ht="18" customHeight="1">
      <c r="A50" s="158"/>
      <c r="B50" s="174">
        <f>IF(ROW(2:2)&gt;TS_UCV,"",COUNTA($D$49:D50))</f>
        <v>2</v>
      </c>
      <c r="C50" s="166" t="str">
        <f>IF(ISNUMBER(SEARCH("thị",DSUCV!B5))," Bà:   ","Ông: ")</f>
        <v>Ông: </v>
      </c>
      <c r="D50" s="166" t="str">
        <f>IF(ROW(2:2)&gt;TS_UCV,"",DSUCV!B5)</f>
        <v>Trấn B</v>
      </c>
      <c r="E50" s="166"/>
      <c r="F50" s="172" t="s">
        <v>398</v>
      </c>
      <c r="G50" s="172">
        <f>SUMIF(DSUCV!$B$4:$B$61,Mau25!$D50,DSUCV!$Y$4:$Y$61)</f>
        <v>0.00042496</v>
      </c>
      <c r="H50" s="173" t="str">
        <f>"phiếu/"&amp;SUMIF(DSUCV!$B$4:$B$61,Mau25!$D50,DSUCV!$X$4:$X$61)&amp;" phiếu hợp lệ"</f>
        <v>phiếu/0 phiếu hợp lệ</v>
      </c>
    </row>
    <row r="51" spans="1:8" ht="18" customHeight="1">
      <c r="A51" s="158"/>
      <c r="B51" s="174">
        <f>IF(ROW(3:3)&gt;TS_UCV,"",COUNTA($D$49:D51))</f>
        <v>3</v>
      </c>
      <c r="C51" s="166" t="str">
        <f>IF(ISNUMBER(SEARCH("thị",DSUCV!B6))," Bà:   ","Ông: ")</f>
        <v>Ông: </v>
      </c>
      <c r="D51" s="166" t="str">
        <f>IF(ROW(3:3)&gt;TS_UCV,"",DSUCV!B6)</f>
        <v>Hồ C</v>
      </c>
      <c r="E51" s="166"/>
      <c r="F51" s="172" t="s">
        <v>398</v>
      </c>
      <c r="G51" s="172">
        <f>SUMIF(DSUCV!$B$4:$B$61,Mau25!$D51,DSUCV!$Y$4:$Y$61)</f>
        <v>0.00042496</v>
      </c>
      <c r="H51" s="173" t="str">
        <f>"phiếu/"&amp;SUMIF(DSUCV!$B$4:$B$61,Mau25!$D51,DSUCV!$X$4:$X$61)&amp;" phiếu hợp lệ"</f>
        <v>phiếu/0 phiếu hợp lệ</v>
      </c>
    </row>
    <row r="52" spans="1:8" ht="18" customHeight="1">
      <c r="A52" s="158"/>
      <c r="B52" s="174">
        <f>IF(ROW(4:4)&gt;TS_UCV,"",COUNTA($D$49:D52))</f>
        <v>4</v>
      </c>
      <c r="C52" s="166" t="str">
        <f>IF(ISNUMBER(SEARCH("thị",DSUCV!B7))," Bà:   ","Ông: ")</f>
        <v>Ông: </v>
      </c>
      <c r="D52" s="166" t="str">
        <f>IF(ROW(4:4)&gt;TS_UCV,"",DSUCV!B7)</f>
        <v>UV A1</v>
      </c>
      <c r="E52" s="166"/>
      <c r="F52" s="172" t="s">
        <v>398</v>
      </c>
      <c r="G52" s="172">
        <f>SUMIF(DSUCV!$B$4:$B$61,Mau25!$D52,DSUCV!$Y$4:$Y$61)</f>
        <v>0.00042496</v>
      </c>
      <c r="H52" s="173" t="str">
        <f>"phiếu/"&amp;SUMIF(DSUCV!$B$4:$B$61,Mau25!$D52,DSUCV!$X$4:$X$61)&amp;" phiếu hợp lệ"</f>
        <v>phiếu/0 phiếu hợp lệ</v>
      </c>
    </row>
    <row r="53" spans="1:8" ht="18" customHeight="1">
      <c r="A53" s="158"/>
      <c r="B53" s="174">
        <f>IF(ROW(5:5)&gt;TS_UCV,"",COUNTA($D$49:D53))</f>
        <v>5</v>
      </c>
      <c r="C53" s="166" t="str">
        <f>IF(ISNUMBER(SEARCH("thị",DSUCV!B8))," Bà:   ","Ông: ")</f>
        <v>Ông: </v>
      </c>
      <c r="D53" s="166" t="str">
        <f>IF(ROW(5:5)&gt;TS_UCV,"",DSUCV!B8)</f>
        <v>UV A2</v>
      </c>
      <c r="E53" s="166"/>
      <c r="F53" s="172" t="s">
        <v>398</v>
      </c>
      <c r="G53" s="172">
        <f>SUMIF(DSUCV!$B$4:$B$61,Mau25!$D53,DSUCV!$Y$4:$Y$61)</f>
        <v>0.00042496</v>
      </c>
      <c r="H53" s="173" t="str">
        <f>"phiếu/"&amp;SUMIF(DSUCV!$B$4:$B$61,Mau25!$D53,DSUCV!$X$4:$X$61)&amp;" phiếu hợp lệ"</f>
        <v>phiếu/0 phiếu hợp lệ</v>
      </c>
    </row>
    <row r="54" spans="1:8" ht="18" customHeight="1">
      <c r="A54" s="158"/>
      <c r="B54" s="174">
        <f>IF(ROW(6:6)&gt;TS_UCV,"",COUNTA($D$49:D54))</f>
        <v>6</v>
      </c>
      <c r="C54" s="166" t="str">
        <f>IF(ISNUMBER(SEARCH("thị",DSUCV!B9))," Bà:   ","Ông: ")</f>
        <v>Ông: </v>
      </c>
      <c r="D54" s="166" t="str">
        <f>IF(ROW(6:6)&gt;TS_UCV,"",DSUCV!B9)</f>
        <v>UV A3</v>
      </c>
      <c r="E54" s="166"/>
      <c r="F54" s="172" t="s">
        <v>398</v>
      </c>
      <c r="G54" s="172">
        <f>SUMIF(DSUCV!$B$4:$B$61,Mau25!$D54,DSUCV!$Y$4:$Y$61)</f>
        <v>0.00042496</v>
      </c>
      <c r="H54" s="173" t="str">
        <f>"phiếu/"&amp;SUMIF(DSUCV!$B$4:$B$61,Mau25!$D54,DSUCV!$X$4:$X$61)&amp;" phiếu hợp lệ"</f>
        <v>phiếu/0 phiếu hợp lệ</v>
      </c>
    </row>
    <row r="55" spans="1:8" ht="18" customHeight="1">
      <c r="A55" s="158"/>
      <c r="B55" s="174">
        <f>IF(ROW(7:7)&gt;TS_UCV,"",COUNTA($D$49:D55))</f>
        <v>7</v>
      </c>
      <c r="C55" s="166" t="str">
        <f>IF(ISNUMBER(SEARCH("thị",DSUCV!B10))," Bà:   ","Ông: ")</f>
        <v>Ông: </v>
      </c>
      <c r="D55" s="166" t="str">
        <f>IF(ROW(7:7)&gt;TS_UCV,"",DSUCV!B10)</f>
        <v>UV A4</v>
      </c>
      <c r="E55" s="166"/>
      <c r="F55" s="172" t="s">
        <v>398</v>
      </c>
      <c r="G55" s="172">
        <f>SUMIF(DSUCV!$B$4:$B$61,Mau25!$D55,DSUCV!$Y$4:$Y$61)</f>
        <v>0.00042496</v>
      </c>
      <c r="H55" s="173" t="str">
        <f>"phiếu/"&amp;SUMIF(DSUCV!$B$4:$B$61,Mau25!$D55,DSUCV!$X$4:$X$61)&amp;" phiếu hợp lệ"</f>
        <v>phiếu/0 phiếu hợp lệ</v>
      </c>
    </row>
    <row r="56" spans="1:8" ht="18" customHeight="1">
      <c r="A56" s="158"/>
      <c r="B56" s="174">
        <f>IF(ROW(8:8)&gt;TS_UCV,"",COUNTA($D$49:D56))</f>
        <v>8</v>
      </c>
      <c r="C56" s="166" t="str">
        <f>IF(ISNUMBER(SEARCH("thị",DSUCV!B11))," Bà:   ","Ông: ")</f>
        <v>Ông: </v>
      </c>
      <c r="D56" s="166" t="str">
        <f>IF(ROW(8:8)&gt;TS_UCV,"",DSUCV!B11)</f>
        <v>UV A5</v>
      </c>
      <c r="E56" s="166"/>
      <c r="F56" s="172" t="s">
        <v>398</v>
      </c>
      <c r="G56" s="172">
        <f>SUMIF(DSUCV!$B$4:$B$61,Mau25!$D56,DSUCV!$Y$4:$Y$61)</f>
        <v>0.00042496</v>
      </c>
      <c r="H56" s="173" t="str">
        <f>"phiếu/"&amp;SUMIF(DSUCV!$B$4:$B$61,Mau25!$D56,DSUCV!$X$4:$X$61)&amp;" phiếu hợp lệ"</f>
        <v>phiếu/0 phiếu hợp lệ</v>
      </c>
    </row>
    <row r="57" spans="1:8" ht="18" customHeight="1">
      <c r="A57" s="158"/>
      <c r="B57" s="174">
        <f>IF(ROW(9:9)&gt;TS_UCV,"",COUNTA($D$49:D57))</f>
        <v>9</v>
      </c>
      <c r="C57" s="166" t="str">
        <f>IF(ISNUMBER(SEARCH("thị",DSUCV!B12))," Bà:   ","Ông: ")</f>
        <v>Ông: </v>
      </c>
      <c r="D57" s="166" t="str">
        <f>IF(ROW(9:9)&gt;TS_UCV,"",DSUCV!B12)</f>
        <v>UV A6</v>
      </c>
      <c r="E57" s="166"/>
      <c r="F57" s="172" t="s">
        <v>398</v>
      </c>
      <c r="G57" s="172">
        <f>SUMIF(DSUCV!$B$4:$B$61,Mau25!$D57,DSUCV!$Y$4:$Y$61)</f>
        <v>0.00042496</v>
      </c>
      <c r="H57" s="173" t="str">
        <f>"phiếu/"&amp;SUMIF(DSUCV!$B$4:$B$61,Mau25!$D57,DSUCV!$X$4:$X$61)&amp;" phiếu hợp lệ"</f>
        <v>phiếu/0 phiếu hợp lệ</v>
      </c>
    </row>
    <row r="58" spans="1:8" ht="18" customHeight="1">
      <c r="A58" s="158"/>
      <c r="B58" s="174">
        <f>IF(ROW(10:10)&gt;TS_UCV,"",COUNTA($D$49:D58))</f>
        <v>10</v>
      </c>
      <c r="C58" s="166" t="str">
        <f>IF(ISNUMBER(SEARCH("thị",DSUCV!B13))," Bà:   ","Ông: ")</f>
        <v>Ông: </v>
      </c>
      <c r="D58" s="166" t="str">
        <f>IF(ROW(10:10)&gt;TS_UCV,"",DSUCV!B13)</f>
        <v>UV A7</v>
      </c>
      <c r="E58" s="166"/>
      <c r="F58" s="172" t="s">
        <v>398</v>
      </c>
      <c r="G58" s="172">
        <f>SUMIF(DSUCV!$B$4:$B$61,Mau25!$D58,DSUCV!$Y$4:$Y$61)</f>
        <v>0.00042496</v>
      </c>
      <c r="H58" s="173" t="str">
        <f>"phiếu/"&amp;SUMIF(DSUCV!$B$4:$B$61,Mau25!$D58,DSUCV!$X$4:$X$61)&amp;" phiếu hợp lệ"</f>
        <v>phiếu/0 phiếu hợp lệ</v>
      </c>
    </row>
    <row r="59" spans="1:8" ht="18" customHeight="1">
      <c r="A59" s="158"/>
      <c r="B59" s="174">
        <f>IF(ROW(11:11)&gt;TS_UCV,"",COUNTA($D$49:D59))</f>
        <v>11</v>
      </c>
      <c r="C59" s="166" t="str">
        <f>IF(ISNUMBER(SEARCH("thị",DSUCV!B14))," Bà:   ","Ông: ")</f>
        <v>Ông: </v>
      </c>
      <c r="D59" s="166" t="str">
        <f>IF(ROW(11:11)&gt;TS_UCV,"",DSUCV!B14)</f>
        <v>UV A8</v>
      </c>
      <c r="E59" s="166"/>
      <c r="F59" s="172" t="s">
        <v>398</v>
      </c>
      <c r="G59" s="172">
        <f>SUMIF(DSUCV!$B$4:$B$61,Mau25!$D59,DSUCV!$Y$4:$Y$61)</f>
        <v>0.00042496</v>
      </c>
      <c r="H59" s="173" t="str">
        <f>"phiếu/"&amp;SUMIF(DSUCV!$B$4:$B$61,Mau25!$D59,DSUCV!$X$4:$X$61)&amp;" phiếu hợp lệ"</f>
        <v>phiếu/0 phiếu hợp lệ</v>
      </c>
    </row>
    <row r="60" spans="1:8" ht="18" customHeight="1">
      <c r="A60" s="158"/>
      <c r="B60" s="174">
        <f>IF(ROW(12:12)&gt;TS_UCV,"",COUNTA($D$49:D60))</f>
        <v>12</v>
      </c>
      <c r="C60" s="166" t="str">
        <f>IF(ISNUMBER(SEARCH("thị",DSUCV!B15))," Bà:   ","Ông: ")</f>
        <v>Ông: </v>
      </c>
      <c r="D60" s="166" t="str">
        <f>IF(ROW(12:12)&gt;TS_UCV,"",DSUCV!B15)</f>
        <v>UV A9</v>
      </c>
      <c r="E60" s="166"/>
      <c r="F60" s="172" t="s">
        <v>398</v>
      </c>
      <c r="G60" s="172">
        <f>SUMIF(DSUCV!$B$4:$B$61,Mau25!$D60,DSUCV!$Y$4:$Y$61)</f>
        <v>0.00042496</v>
      </c>
      <c r="H60" s="173" t="str">
        <f>"phiếu/"&amp;SUMIF(DSUCV!$B$4:$B$61,Mau25!$D60,DSUCV!$X$4:$X$61)&amp;" phiếu hợp lệ"</f>
        <v>phiếu/0 phiếu hợp lệ</v>
      </c>
    </row>
    <row r="61" spans="1:8" ht="18" customHeight="1">
      <c r="A61" s="158"/>
      <c r="B61" s="174">
        <f>IF(ROW(13:13)&gt;TS_UCV,"",COUNTA($D$49:D61))</f>
        <v>13</v>
      </c>
      <c r="C61" s="166" t="str">
        <f>IF(ISNUMBER(SEARCH("thị",DSUCV!B16))," Bà:   ","Ông: ")</f>
        <v>Ông: </v>
      </c>
      <c r="D61" s="166" t="str">
        <f>IF(ROW(13:13)&gt;TS_UCV,"",DSUCV!B16)</f>
        <v>UV A10</v>
      </c>
      <c r="E61" s="166"/>
      <c r="F61" s="172" t="s">
        <v>398</v>
      </c>
      <c r="G61" s="172">
        <f>SUMIF(DSUCV!$B$4:$B$61,Mau25!$D61,DSUCV!$Y$4:$Y$61)</f>
        <v>0.00042496</v>
      </c>
      <c r="H61" s="173" t="str">
        <f>"phiếu/"&amp;SUMIF(DSUCV!$B$4:$B$61,Mau25!$D61,DSUCV!$X$4:$X$61)&amp;" phiếu hợp lệ"</f>
        <v>phiếu/0 phiếu hợp lệ</v>
      </c>
    </row>
    <row r="62" spans="1:8" ht="34.5" customHeight="1">
      <c r="A62" s="395" t="s">
        <v>402</v>
      </c>
      <c r="B62" s="395"/>
      <c r="C62" s="395"/>
      <c r="D62" s="395"/>
      <c r="E62" s="395"/>
      <c r="F62" s="395"/>
      <c r="G62" s="395"/>
      <c r="H62" s="395"/>
    </row>
    <row r="63" spans="1:8" ht="18" customHeight="1">
      <c r="A63" s="154" t="s">
        <v>385</v>
      </c>
      <c r="B63" s="154"/>
      <c r="C63" s="154"/>
      <c r="D63" s="154"/>
      <c r="E63" s="154"/>
      <c r="F63" s="154"/>
      <c r="G63" s="154"/>
      <c r="H63" s="154"/>
    </row>
    <row r="64" spans="1:8" ht="18" customHeight="1">
      <c r="A64" s="154" t="s">
        <v>385</v>
      </c>
      <c r="B64" s="154"/>
      <c r="C64" s="154"/>
      <c r="D64" s="154"/>
      <c r="E64" s="154"/>
      <c r="F64" s="154"/>
      <c r="G64" s="154"/>
      <c r="H64" s="154"/>
    </row>
    <row r="65" spans="1:8" ht="18" customHeight="1">
      <c r="A65" s="154" t="s">
        <v>385</v>
      </c>
      <c r="B65" s="154"/>
      <c r="C65" s="154"/>
      <c r="D65" s="154"/>
      <c r="E65" s="154"/>
      <c r="F65" s="154"/>
      <c r="G65" s="154"/>
      <c r="H65" s="154"/>
    </row>
    <row r="66" spans="1:8" ht="34.5" customHeight="1">
      <c r="A66" s="395" t="s">
        <v>403</v>
      </c>
      <c r="B66" s="395"/>
      <c r="C66" s="395"/>
      <c r="D66" s="395"/>
      <c r="E66" s="395"/>
      <c r="F66" s="395"/>
      <c r="G66" s="395"/>
      <c r="H66" s="395"/>
    </row>
    <row r="67" spans="1:8" ht="18" customHeight="1">
      <c r="A67" s="154" t="s">
        <v>386</v>
      </c>
      <c r="B67" s="154"/>
      <c r="C67" s="154"/>
      <c r="D67" s="154"/>
      <c r="E67" s="154"/>
      <c r="F67" s="154"/>
      <c r="G67" s="154"/>
      <c r="H67" s="154"/>
    </row>
    <row r="68" spans="1:8" ht="18" customHeight="1">
      <c r="A68" s="154" t="s">
        <v>387</v>
      </c>
      <c r="B68" s="154"/>
      <c r="C68" s="154"/>
      <c r="D68" s="154"/>
      <c r="E68" s="154"/>
      <c r="F68" s="154"/>
      <c r="G68" s="154"/>
      <c r="H68" s="154"/>
    </row>
    <row r="69" spans="1:8" ht="18" customHeight="1">
      <c r="A69" s="154" t="s">
        <v>387</v>
      </c>
      <c r="B69" s="154"/>
      <c r="C69" s="154"/>
      <c r="D69" s="154"/>
      <c r="E69" s="154"/>
      <c r="F69" s="154"/>
      <c r="G69" s="154"/>
      <c r="H69" s="154"/>
    </row>
    <row r="70" spans="1:8" ht="68.25" customHeight="1">
      <c r="A70" s="395" t="s">
        <v>404</v>
      </c>
      <c r="B70" s="395"/>
      <c r="C70" s="395"/>
      <c r="D70" s="395"/>
      <c r="E70" s="395"/>
      <c r="F70" s="395"/>
      <c r="G70" s="395"/>
      <c r="H70" s="395"/>
    </row>
    <row r="71" spans="1:8" ht="16.5">
      <c r="A71" s="156"/>
      <c r="B71" s="156"/>
      <c r="C71" s="154"/>
      <c r="D71" s="154"/>
      <c r="E71" s="154"/>
      <c r="F71" s="154"/>
      <c r="G71" s="154"/>
      <c r="H71" s="154"/>
    </row>
    <row r="72" spans="1:8" ht="16.5">
      <c r="A72" s="393" t="s">
        <v>388</v>
      </c>
      <c r="B72" s="393"/>
      <c r="C72" s="393"/>
      <c r="D72" s="393"/>
      <c r="E72" s="158"/>
      <c r="F72" s="162" t="s">
        <v>389</v>
      </c>
      <c r="G72" s="158"/>
      <c r="H72" s="162" t="s">
        <v>390</v>
      </c>
    </row>
    <row r="73" spans="1:8" ht="16.5">
      <c r="A73" s="393" t="s">
        <v>391</v>
      </c>
      <c r="B73" s="393"/>
      <c r="C73" s="393"/>
      <c r="D73" s="393"/>
      <c r="E73" s="161"/>
      <c r="F73" s="162" t="s">
        <v>392</v>
      </c>
      <c r="G73" s="158"/>
      <c r="H73" s="162" t="s">
        <v>393</v>
      </c>
    </row>
    <row r="74" spans="1:8" ht="16.5">
      <c r="A74" s="397" t="s">
        <v>394</v>
      </c>
      <c r="B74" s="397"/>
      <c r="C74" s="397"/>
      <c r="D74" s="397"/>
      <c r="E74" s="161"/>
      <c r="F74" s="165" t="s">
        <v>394</v>
      </c>
      <c r="G74" s="158"/>
      <c r="H74" s="165" t="s">
        <v>395</v>
      </c>
    </row>
    <row r="75" spans="1:8" ht="16.5">
      <c r="A75" s="397"/>
      <c r="B75" s="397"/>
      <c r="C75" s="397"/>
      <c r="D75" s="397"/>
      <c r="E75" s="163"/>
      <c r="F75" s="164"/>
      <c r="G75" s="158"/>
      <c r="H75" s="165" t="s">
        <v>312</v>
      </c>
    </row>
    <row r="76" spans="1:8" ht="16.5">
      <c r="A76" s="165"/>
      <c r="B76" s="165"/>
      <c r="C76" s="165"/>
      <c r="D76" s="165"/>
      <c r="E76" s="163"/>
      <c r="F76" s="164"/>
      <c r="G76" s="158"/>
      <c r="H76" s="165"/>
    </row>
    <row r="77" spans="1:8" ht="16.5">
      <c r="A77" s="165"/>
      <c r="B77" s="165"/>
      <c r="C77" s="165"/>
      <c r="D77" s="165"/>
      <c r="E77" s="163"/>
      <c r="F77" s="164"/>
      <c r="G77" s="158"/>
      <c r="H77" s="165"/>
    </row>
    <row r="78" spans="1:8" ht="16.5">
      <c r="A78" s="165"/>
      <c r="B78" s="165"/>
      <c r="C78" s="165"/>
      <c r="D78" s="165"/>
      <c r="E78" s="163"/>
      <c r="F78" s="164"/>
      <c r="G78" s="158"/>
      <c r="H78" s="165"/>
    </row>
    <row r="79" spans="1:8" ht="16.5">
      <c r="A79" s="397"/>
      <c r="B79" s="397"/>
      <c r="C79" s="397"/>
      <c r="D79" s="397"/>
      <c r="E79" s="163"/>
      <c r="F79" s="164"/>
      <c r="G79" s="164"/>
      <c r="H79" s="164"/>
    </row>
    <row r="80" spans="1:8" ht="16.5">
      <c r="A80" s="397"/>
      <c r="B80" s="397"/>
      <c r="C80" s="397"/>
      <c r="D80" s="397"/>
      <c r="E80" s="163"/>
      <c r="F80" s="164"/>
      <c r="G80" s="164"/>
      <c r="H80" s="164"/>
    </row>
    <row r="81" spans="1:8" ht="16.5">
      <c r="A81" s="393" t="s">
        <v>396</v>
      </c>
      <c r="B81" s="393"/>
      <c r="C81" s="393"/>
      <c r="D81" s="393"/>
      <c r="E81" s="163"/>
      <c r="F81" s="164"/>
      <c r="G81" s="164"/>
      <c r="H81" s="164"/>
    </row>
    <row r="82" spans="1:8" ht="16.5">
      <c r="A82" s="393" t="s">
        <v>397</v>
      </c>
      <c r="B82" s="393"/>
      <c r="C82" s="393"/>
      <c r="D82" s="393"/>
      <c r="E82" s="163"/>
      <c r="F82" s="164"/>
      <c r="G82" s="164"/>
      <c r="H82" s="164"/>
    </row>
    <row r="83" spans="1:8" ht="16.5">
      <c r="A83" s="394" t="s">
        <v>394</v>
      </c>
      <c r="B83" s="394"/>
      <c r="C83" s="394"/>
      <c r="D83" s="394"/>
      <c r="E83" s="163"/>
      <c r="F83" s="164"/>
      <c r="G83" s="164"/>
      <c r="H83" s="164"/>
    </row>
    <row r="84" spans="1:8" ht="16.5">
      <c r="A84" s="396"/>
      <c r="B84" s="396"/>
      <c r="C84" s="396"/>
      <c r="D84" s="396"/>
      <c r="E84" s="164"/>
      <c r="F84" s="164"/>
      <c r="G84" s="164"/>
      <c r="H84" s="164"/>
    </row>
    <row r="85" spans="1:8" ht="16.5">
      <c r="A85" s="396"/>
      <c r="B85" s="396"/>
      <c r="C85" s="396"/>
      <c r="D85" s="396"/>
      <c r="E85" s="154"/>
      <c r="F85" s="154"/>
      <c r="G85" s="154"/>
      <c r="H85" s="154"/>
    </row>
  </sheetData>
  <sheetProtection/>
  <mergeCells count="24">
    <mergeCell ref="A66:H66"/>
    <mergeCell ref="B7:H7"/>
    <mergeCell ref="B8:H8"/>
    <mergeCell ref="B9:H9"/>
    <mergeCell ref="A28:H28"/>
    <mergeCell ref="A29:H29"/>
    <mergeCell ref="A84:D84"/>
    <mergeCell ref="A85:D85"/>
    <mergeCell ref="A73:D73"/>
    <mergeCell ref="A74:D74"/>
    <mergeCell ref="A75:D75"/>
    <mergeCell ref="A79:D79"/>
    <mergeCell ref="A81:D81"/>
    <mergeCell ref="A80:D80"/>
    <mergeCell ref="E3:H3"/>
    <mergeCell ref="E4:H4"/>
    <mergeCell ref="A82:D82"/>
    <mergeCell ref="A83:D83"/>
    <mergeCell ref="A33:H33"/>
    <mergeCell ref="A34:H34"/>
    <mergeCell ref="A37:H37"/>
    <mergeCell ref="A62:H62"/>
    <mergeCell ref="A70:H70"/>
    <mergeCell ref="A72:D72"/>
  </mergeCells>
  <printOptions horizontalCentered="1"/>
  <pageMargins left="0.8661417322834646" right="0.4330708661417323" top="0.3937007874015748" bottom="0.35433070866141736" header="0.31496062992125984" footer="0.31496062992125984"/>
  <pageSetup fitToHeight="0" fitToWidth="1"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sheetPr codeName="Sheet9">
    <pageSetUpPr fitToPage="1"/>
  </sheetPr>
  <dimension ref="A1:L75"/>
  <sheetViews>
    <sheetView showGridLines="0" zoomScale="80" zoomScaleNormal="80" zoomScalePageLayoutView="0" workbookViewId="0" topLeftCell="A1">
      <pane xSplit="12" ySplit="11" topLeftCell="M51" activePane="bottomRight" state="frozen"/>
      <selection pane="topLeft" activeCell="A1" sqref="A1"/>
      <selection pane="topRight" activeCell="M1" sqref="M1"/>
      <selection pane="bottomLeft" activeCell="A12" sqref="A12"/>
      <selection pane="bottomRight" activeCell="A11" sqref="A11:L11"/>
    </sheetView>
  </sheetViews>
  <sheetFormatPr defaultColWidth="0" defaultRowHeight="15.75"/>
  <cols>
    <col min="1" max="1" width="6.00390625" style="311" customWidth="1"/>
    <col min="2" max="2" width="1.625" style="312" customWidth="1"/>
    <col min="3" max="3" width="7.875" style="311" customWidth="1"/>
    <col min="4" max="4" width="19.25390625" style="311" customWidth="1"/>
    <col min="5" max="5" width="7.875" style="311" customWidth="1"/>
    <col min="6" max="6" width="6.25390625" style="311" customWidth="1"/>
    <col min="7" max="7" width="4.875" style="311" customWidth="1"/>
    <col min="8" max="8" width="7.125" style="311" customWidth="1"/>
    <col min="9" max="9" width="2.50390625" style="311" customWidth="1"/>
    <col min="10" max="10" width="6.125" style="311" customWidth="1"/>
    <col min="11" max="11" width="14.125" style="311" customWidth="1"/>
    <col min="12" max="12" width="12.25390625" style="311" customWidth="1"/>
    <col min="13" max="13" width="0.5" style="311" hidden="1" customWidth="1"/>
    <col min="14" max="16384" width="0" style="311" hidden="1" customWidth="1"/>
  </cols>
  <sheetData>
    <row r="1" ht="15">
      <c r="L1" s="313" t="s">
        <v>503</v>
      </c>
    </row>
    <row r="2" ht="6.75" customHeight="1">
      <c r="I2" s="314"/>
    </row>
    <row r="3" spans="1:11" ht="18" customHeight="1">
      <c r="A3" s="401" t="s">
        <v>504</v>
      </c>
      <c r="B3" s="401"/>
      <c r="C3" s="401"/>
      <c r="D3" s="401"/>
      <c r="F3" s="315" t="s">
        <v>311</v>
      </c>
      <c r="G3" s="316"/>
      <c r="H3" s="316"/>
      <c r="I3" s="316"/>
      <c r="J3" s="316"/>
      <c r="K3" s="316"/>
    </row>
    <row r="4" spans="1:11" ht="18" customHeight="1">
      <c r="A4" s="401" t="s">
        <v>505</v>
      </c>
      <c r="B4" s="401"/>
      <c r="C4" s="401"/>
      <c r="D4" s="401"/>
      <c r="F4" s="317" t="s">
        <v>310</v>
      </c>
      <c r="G4" s="316"/>
      <c r="H4" s="316"/>
      <c r="I4" s="316"/>
      <c r="J4" s="316"/>
      <c r="K4" s="316"/>
    </row>
    <row r="5" spans="1:4" ht="18" customHeight="1">
      <c r="A5" s="401" t="s">
        <v>506</v>
      </c>
      <c r="B5" s="401"/>
      <c r="C5" s="401"/>
      <c r="D5" s="401"/>
    </row>
    <row r="6" spans="1:4" ht="20.25" customHeight="1">
      <c r="A6" s="402" t="s">
        <v>507</v>
      </c>
      <c r="B6" s="402"/>
      <c r="C6" s="402"/>
      <c r="D6" s="402"/>
    </row>
    <row r="7" spans="2:3" ht="8.25" customHeight="1">
      <c r="B7" s="318"/>
      <c r="C7" s="319"/>
    </row>
    <row r="8" spans="1:12" ht="18.75">
      <c r="A8" s="403" t="s">
        <v>508</v>
      </c>
      <c r="B8" s="403"/>
      <c r="C8" s="403"/>
      <c r="D8" s="403"/>
      <c r="E8" s="403"/>
      <c r="F8" s="403"/>
      <c r="G8" s="403"/>
      <c r="H8" s="403"/>
      <c r="I8" s="403"/>
      <c r="J8" s="403"/>
      <c r="K8" s="403"/>
      <c r="L8" s="403"/>
    </row>
    <row r="9" spans="1:12" ht="18.75">
      <c r="A9" s="403" t="s">
        <v>357</v>
      </c>
      <c r="B9" s="403"/>
      <c r="C9" s="403"/>
      <c r="D9" s="403"/>
      <c r="E9" s="403"/>
      <c r="F9" s="403"/>
      <c r="G9" s="403"/>
      <c r="H9" s="403"/>
      <c r="I9" s="403"/>
      <c r="J9" s="403"/>
      <c r="K9" s="403"/>
      <c r="L9" s="403"/>
    </row>
    <row r="10" spans="1:12" ht="18.75">
      <c r="A10" s="404" t="s">
        <v>509</v>
      </c>
      <c r="B10" s="404"/>
      <c r="C10" s="404"/>
      <c r="D10" s="404"/>
      <c r="E10" s="404"/>
      <c r="F10" s="404"/>
      <c r="G10" s="404"/>
      <c r="H10" s="404"/>
      <c r="I10" s="404"/>
      <c r="J10" s="404"/>
      <c r="K10" s="404"/>
      <c r="L10" s="404"/>
    </row>
    <row r="11" spans="1:12" s="320" customFormat="1" ht="21.75" customHeight="1">
      <c r="A11" s="405" t="s">
        <v>510</v>
      </c>
      <c r="B11" s="405"/>
      <c r="C11" s="405"/>
      <c r="D11" s="405"/>
      <c r="E11" s="405"/>
      <c r="F11" s="405"/>
      <c r="G11" s="405"/>
      <c r="H11" s="405"/>
      <c r="I11" s="405"/>
      <c r="J11" s="405"/>
      <c r="K11" s="405"/>
      <c r="L11" s="405"/>
    </row>
    <row r="12" s="321" customFormat="1" ht="10.5" customHeight="1">
      <c r="B12" s="322"/>
    </row>
    <row r="13" spans="1:12" s="321" customFormat="1" ht="37.5" customHeight="1">
      <c r="A13" s="406" t="s">
        <v>511</v>
      </c>
      <c r="B13" s="406"/>
      <c r="C13" s="406"/>
      <c r="D13" s="406"/>
      <c r="E13" s="406"/>
      <c r="F13" s="406"/>
      <c r="G13" s="406"/>
      <c r="H13" s="406"/>
      <c r="I13" s="406"/>
      <c r="J13" s="406"/>
      <c r="K13" s="406"/>
      <c r="L13" s="406"/>
    </row>
    <row r="14" spans="2:12" s="321" customFormat="1" ht="21" customHeight="1">
      <c r="B14" s="324"/>
      <c r="C14" s="325" t="s">
        <v>535</v>
      </c>
      <c r="D14" s="325" t="s">
        <v>228</v>
      </c>
      <c r="E14" s="326"/>
      <c r="F14" s="327"/>
      <c r="G14" s="327"/>
      <c r="H14" s="326" t="s">
        <v>538</v>
      </c>
      <c r="I14" s="326"/>
      <c r="J14" s="326"/>
      <c r="K14" s="327"/>
      <c r="L14" s="327"/>
    </row>
    <row r="15" spans="2:12" s="321" customFormat="1" ht="21" customHeight="1">
      <c r="B15" s="324"/>
      <c r="C15" s="325" t="s">
        <v>536</v>
      </c>
      <c r="D15" s="325" t="s">
        <v>366</v>
      </c>
      <c r="E15" s="326"/>
      <c r="F15" s="327"/>
      <c r="G15" s="327"/>
      <c r="H15" s="326" t="s">
        <v>539</v>
      </c>
      <c r="I15" s="326"/>
      <c r="J15" s="327"/>
      <c r="K15" s="327"/>
      <c r="L15" s="327"/>
    </row>
    <row r="16" spans="2:12" s="321" customFormat="1" ht="21" customHeight="1">
      <c r="B16" s="324"/>
      <c r="C16" s="328" t="s">
        <v>537</v>
      </c>
      <c r="D16" s="325">
        <v>0</v>
      </c>
      <c r="E16" s="326"/>
      <c r="F16" s="327"/>
      <c r="G16" s="327"/>
      <c r="H16" s="326" t="s">
        <v>540</v>
      </c>
      <c r="I16" s="326"/>
      <c r="J16" s="327"/>
      <c r="K16" s="327"/>
      <c r="L16" s="327"/>
    </row>
    <row r="17" spans="2:12" s="321" customFormat="1" ht="21" customHeight="1">
      <c r="B17" s="324"/>
      <c r="C17" s="328" t="s">
        <v>537</v>
      </c>
      <c r="D17" s="325">
        <v>0</v>
      </c>
      <c r="E17" s="326"/>
      <c r="F17" s="327"/>
      <c r="G17" s="327"/>
      <c r="H17" s="326" t="s">
        <v>540</v>
      </c>
      <c r="I17" s="326"/>
      <c r="J17" s="327"/>
      <c r="K17" s="327"/>
      <c r="L17" s="327"/>
    </row>
    <row r="18" spans="2:12" s="321" customFormat="1" ht="21" customHeight="1">
      <c r="B18" s="324"/>
      <c r="C18" s="328" t="s">
        <v>537</v>
      </c>
      <c r="D18" s="325">
        <v>0</v>
      </c>
      <c r="E18" s="326"/>
      <c r="F18" s="327"/>
      <c r="G18" s="327"/>
      <c r="H18" s="326" t="s">
        <v>540</v>
      </c>
      <c r="I18" s="326"/>
      <c r="J18" s="327"/>
      <c r="K18" s="327"/>
      <c r="L18" s="327"/>
    </row>
    <row r="19" spans="2:12" s="321" customFormat="1" ht="21" customHeight="1">
      <c r="B19" s="324"/>
      <c r="C19" s="328" t="s">
        <v>537</v>
      </c>
      <c r="D19" s="325">
        <v>0</v>
      </c>
      <c r="E19" s="326"/>
      <c r="F19" s="327"/>
      <c r="G19" s="327"/>
      <c r="H19" s="326" t="s">
        <v>540</v>
      </c>
      <c r="I19" s="326"/>
      <c r="J19" s="327"/>
      <c r="K19" s="327"/>
      <c r="L19" s="327"/>
    </row>
    <row r="20" spans="2:12" s="321" customFormat="1" ht="21" customHeight="1">
      <c r="B20" s="324"/>
      <c r="C20" s="328" t="s">
        <v>537</v>
      </c>
      <c r="D20" s="325">
        <v>0</v>
      </c>
      <c r="E20" s="326"/>
      <c r="F20" s="327"/>
      <c r="G20" s="327"/>
      <c r="H20" s="326" t="s">
        <v>540</v>
      </c>
      <c r="I20" s="326"/>
      <c r="J20" s="327"/>
      <c r="K20" s="327"/>
      <c r="L20" s="327"/>
    </row>
    <row r="21" spans="2:12" s="321" customFormat="1" ht="21" customHeight="1">
      <c r="B21" s="324"/>
      <c r="C21" s="328" t="s">
        <v>537</v>
      </c>
      <c r="D21" s="325">
        <v>0</v>
      </c>
      <c r="E21" s="326"/>
      <c r="F21" s="327"/>
      <c r="G21" s="327"/>
      <c r="H21" s="326" t="s">
        <v>540</v>
      </c>
      <c r="I21" s="326"/>
      <c r="J21" s="327"/>
      <c r="K21" s="327"/>
      <c r="L21" s="327"/>
    </row>
    <row r="22" spans="2:12" s="321" customFormat="1" ht="21" customHeight="1">
      <c r="B22" s="324"/>
      <c r="C22" s="328" t="s">
        <v>537</v>
      </c>
      <c r="D22" s="325">
        <v>0</v>
      </c>
      <c r="E22" s="326"/>
      <c r="F22" s="327"/>
      <c r="G22" s="327"/>
      <c r="H22" s="326" t="s">
        <v>540</v>
      </c>
      <c r="I22" s="326"/>
      <c r="J22" s="327"/>
      <c r="K22" s="327"/>
      <c r="L22" s="327"/>
    </row>
    <row r="23" spans="2:12" s="321" customFormat="1" ht="21" customHeight="1">
      <c r="B23" s="324"/>
      <c r="C23" s="328" t="s">
        <v>537</v>
      </c>
      <c r="D23" s="325">
        <v>0</v>
      </c>
      <c r="E23" s="326"/>
      <c r="F23" s="327"/>
      <c r="G23" s="327"/>
      <c r="H23" s="326" t="s">
        <v>540</v>
      </c>
      <c r="I23" s="326"/>
      <c r="J23" s="327"/>
      <c r="K23" s="327"/>
      <c r="L23" s="327"/>
    </row>
    <row r="24" spans="2:12" s="321" customFormat="1" ht="21" customHeight="1">
      <c r="B24" s="324"/>
      <c r="C24" s="328" t="s">
        <v>537</v>
      </c>
      <c r="D24" s="325">
        <v>0</v>
      </c>
      <c r="E24" s="326"/>
      <c r="F24" s="327"/>
      <c r="G24" s="327"/>
      <c r="H24" s="326" t="s">
        <v>540</v>
      </c>
      <c r="I24" s="326"/>
      <c r="J24" s="327"/>
      <c r="K24" s="327"/>
      <c r="L24" s="327"/>
    </row>
    <row r="25" spans="2:3" s="321" customFormat="1" ht="9" customHeight="1">
      <c r="B25" s="324"/>
      <c r="C25" s="329"/>
    </row>
    <row r="26" spans="1:12" s="321" customFormat="1" ht="72" customHeight="1">
      <c r="A26" s="407" t="s">
        <v>512</v>
      </c>
      <c r="B26" s="407"/>
      <c r="C26" s="407"/>
      <c r="D26" s="407"/>
      <c r="E26" s="407"/>
      <c r="F26" s="407"/>
      <c r="G26" s="407"/>
      <c r="H26" s="407"/>
      <c r="I26" s="407"/>
      <c r="J26" s="407"/>
      <c r="K26" s="407"/>
      <c r="L26" s="407"/>
    </row>
    <row r="27" spans="1:12" s="321" customFormat="1" ht="53.25" customHeight="1">
      <c r="A27" s="407" t="s">
        <v>513</v>
      </c>
      <c r="B27" s="407"/>
      <c r="C27" s="407"/>
      <c r="D27" s="407"/>
      <c r="E27" s="407"/>
      <c r="F27" s="407"/>
      <c r="G27" s="407"/>
      <c r="H27" s="407"/>
      <c r="I27" s="407"/>
      <c r="J27" s="407"/>
      <c r="K27" s="407"/>
      <c r="L27" s="407"/>
    </row>
    <row r="28" spans="1:12" s="321" customFormat="1" ht="55.5" customHeight="1">
      <c r="A28" s="407" t="s">
        <v>514</v>
      </c>
      <c r="B28" s="407"/>
      <c r="C28" s="407"/>
      <c r="D28" s="407"/>
      <c r="E28" s="407"/>
      <c r="F28" s="407"/>
      <c r="G28" s="407"/>
      <c r="H28" s="407"/>
      <c r="I28" s="407"/>
      <c r="J28" s="407"/>
      <c r="K28" s="407"/>
      <c r="L28" s="407"/>
    </row>
    <row r="29" spans="1:12" s="321" customFormat="1" ht="53.25" customHeight="1">
      <c r="A29" s="407" t="s">
        <v>515</v>
      </c>
      <c r="B29" s="407"/>
      <c r="C29" s="407"/>
      <c r="D29" s="407"/>
      <c r="E29" s="407"/>
      <c r="F29" s="407"/>
      <c r="G29" s="407"/>
      <c r="H29" s="407"/>
      <c r="I29" s="407"/>
      <c r="J29" s="407"/>
      <c r="K29" s="407"/>
      <c r="L29" s="407"/>
    </row>
    <row r="30" spans="2:12" s="321" customFormat="1" ht="21.75" customHeight="1">
      <c r="B30" s="330" t="str">
        <f>"- Tổng số cử tri của đơn vị bầu cử:       "&amp;MauTH!D23&amp;"người"</f>
        <v>- Tổng số cử tri của đơn vị bầu cử:       người</v>
      </c>
      <c r="C30" s="327"/>
      <c r="D30" s="327"/>
      <c r="E30" s="327"/>
      <c r="F30" s="326"/>
      <c r="G30" s="331"/>
      <c r="H30" s="331"/>
      <c r="I30" s="331"/>
      <c r="J30" s="326"/>
      <c r="K30" s="327"/>
      <c r="L30" s="327"/>
    </row>
    <row r="31" spans="2:12" s="321" customFormat="1" ht="21.75" customHeight="1">
      <c r="B31" s="330" t="str">
        <f>"- Số lượng cử tri đã tham gia bỏ phiếu:  "&amp;MauTH!E23&amp;" người"</f>
        <v>- Số lượng cử tri đã tham gia bỏ phiếu:   người</v>
      </c>
      <c r="C31" s="327"/>
      <c r="D31" s="327"/>
      <c r="E31" s="327"/>
      <c r="F31" s="326"/>
      <c r="G31" s="331"/>
      <c r="H31" s="331"/>
      <c r="I31" s="331"/>
      <c r="J31" s="326"/>
      <c r="K31" s="327"/>
      <c r="L31" s="327"/>
    </row>
    <row r="32" spans="2:12" s="321" customFormat="1" ht="21.75" customHeight="1">
      <c r="B32" s="332" t="str">
        <f>"- Tỷ lệ cử tri đã tham gia bỏ phiếu so với tổng số cử tri của đơn vị bầu cử: "&amp;MauTH!F23&amp;"%"</f>
        <v>- Tỷ lệ cử tri đã tham gia bỏ phiếu so với tổng số cử tri của đơn vị bầu cử: %</v>
      </c>
      <c r="C32" s="327"/>
      <c r="D32" s="327"/>
      <c r="E32" s="327"/>
      <c r="F32" s="327"/>
      <c r="G32" s="327"/>
      <c r="H32" s="327"/>
      <c r="I32" s="327"/>
      <c r="J32" s="327"/>
      <c r="K32" s="327"/>
      <c r="L32" s="333"/>
    </row>
    <row r="33" spans="2:12" s="321" customFormat="1" ht="21.75" customHeight="1">
      <c r="B33" s="330" t="str">
        <f>"- Số phiếu phát ra:    "&amp;MauTH!G23&amp;" phiếu"</f>
        <v>- Số phiếu phát ra:     phiếu</v>
      </c>
      <c r="C33" s="327"/>
      <c r="D33" s="327"/>
      <c r="E33" s="331"/>
      <c r="F33" s="326"/>
      <c r="G33" s="334"/>
      <c r="H33" s="326"/>
      <c r="I33" s="327"/>
      <c r="J33" s="327"/>
      <c r="K33" s="327"/>
      <c r="L33" s="335"/>
    </row>
    <row r="34" spans="2:12" s="321" customFormat="1" ht="21.75" customHeight="1">
      <c r="B34" s="330" t="str">
        <f>"- Số phiếu thu vào:   "&amp;MauTH!H23&amp;" phiếu. Tỷ lệ so với phiếu phát ra:  "&amp;MauTH!I23&amp;"%"""</f>
        <v>- Số phiếu thu vào:    phiếu. Tỷ lệ so với phiếu phát ra:  %"</v>
      </c>
      <c r="C34" s="336"/>
      <c r="D34" s="336"/>
      <c r="E34" s="335"/>
      <c r="F34" s="326"/>
      <c r="G34" s="326"/>
      <c r="H34" s="327"/>
      <c r="I34" s="327"/>
      <c r="J34" s="327"/>
      <c r="K34" s="327"/>
      <c r="L34" s="337"/>
    </row>
    <row r="35" spans="2:12" s="321" customFormat="1" ht="21.75" customHeight="1">
      <c r="B35" s="330" t="str">
        <f>"- Số phiếu hợp lệ:     "&amp;MauTH!J23&amp;" phiếu. Tỷ lệ so với tổng số phiếu thu vào:  "&amp;MauTH!R23&amp;"%"</f>
        <v>- Số phiếu hợp lệ:      phiếu. Tỷ lệ so với tổng số phiếu thu vào:  %</v>
      </c>
      <c r="C35" s="336"/>
      <c r="D35" s="336"/>
      <c r="E35" s="338"/>
      <c r="F35" s="326"/>
      <c r="G35" s="327"/>
      <c r="H35" s="327"/>
      <c r="I35" s="327"/>
      <c r="J35" s="327"/>
      <c r="K35" s="327"/>
      <c r="L35" s="337"/>
    </row>
    <row r="36" spans="2:12" s="321" customFormat="1" ht="21.75" customHeight="1">
      <c r="B36" s="330" t="str">
        <f>"- Số phiếu không hợp lệ:  "&amp;IF(MauTH!P23=0,"0",TEXT(MauTH!P23,"00"))&amp;" phiếu. Tỷ lệ so với tổng số phiếu thu vào: "&amp;IF(MauTH!P23=0,".....",MauTH!S23)&amp;"%"</f>
        <v>- Số phiếu không hợp lệ:  0 phiếu. Tỷ lệ so với tổng số phiếu thu vào: .....%</v>
      </c>
      <c r="C36" s="336"/>
      <c r="D36" s="336"/>
      <c r="E36" s="338"/>
      <c r="F36" s="326"/>
      <c r="G36" s="327"/>
      <c r="H36" s="327"/>
      <c r="I36" s="327"/>
      <c r="J36" s="327"/>
      <c r="K36" s="327"/>
      <c r="L36" s="337"/>
    </row>
    <row r="37" spans="2:12" s="321" customFormat="1" ht="21.75" customHeight="1">
      <c r="B37" s="339" t="s">
        <v>516</v>
      </c>
      <c r="C37" s="327"/>
      <c r="D37" s="327"/>
      <c r="E37" s="335"/>
      <c r="F37" s="327"/>
      <c r="G37" s="327"/>
      <c r="H37" s="327"/>
      <c r="I37" s="327"/>
      <c r="J37" s="327"/>
      <c r="K37" s="327"/>
      <c r="L37" s="335"/>
    </row>
    <row r="38" spans="2:12" s="321" customFormat="1" ht="21.75" customHeight="1">
      <c r="B38" s="327"/>
      <c r="C38" s="328" t="str">
        <f>ROW(1:1)&amp;". "&amp;IF(ISERR(SEARCH("Thị",D20)),"Ông:","Bà: ")</f>
        <v>1. Ông:</v>
      </c>
      <c r="D38" s="325" t="str">
        <f>DSUCV!B4</f>
        <v>Hoang BooKi</v>
      </c>
      <c r="E38" s="327"/>
      <c r="F38" s="328" t="s">
        <v>398</v>
      </c>
      <c r="G38" s="340">
        <f>DSUCV!Y4</f>
        <v>0.00042496</v>
      </c>
      <c r="H38" s="325" t="str">
        <f>"phiếu/"&amp;DSUCV!X4&amp;" phiếu hợp lệ"</f>
        <v>phiếu/0 phiếu hợp lệ</v>
      </c>
      <c r="I38" s="328"/>
      <c r="J38" s="328"/>
      <c r="K38" s="328"/>
      <c r="L38" s="327"/>
    </row>
    <row r="39" spans="2:12" s="321" customFormat="1" ht="21.75" customHeight="1">
      <c r="B39" s="328"/>
      <c r="C39" s="328" t="str">
        <f aca="true" t="shared" si="0" ref="C39:C45">ROW($A2:$IV2)&amp;". "&amp;IF(ISERR(SEARCH("Thị",D21)),"Ông:","Bà: ")</f>
        <v>2. Ông:</v>
      </c>
      <c r="D39" s="325" t="str">
        <f>DSUCV!B5</f>
        <v>Trấn B</v>
      </c>
      <c r="E39" s="327"/>
      <c r="F39" s="328" t="s">
        <v>398</v>
      </c>
      <c r="G39" s="340">
        <f>DSUCV!Y5</f>
        <v>0.00042496</v>
      </c>
      <c r="H39" s="325" t="str">
        <f>"phiếu/"&amp;DSUCV!X5&amp;" phiếu hợp lệ"</f>
        <v>phiếu/0 phiếu hợp lệ</v>
      </c>
      <c r="I39" s="328"/>
      <c r="J39" s="328"/>
      <c r="K39" s="328"/>
      <c r="L39" s="327"/>
    </row>
    <row r="40" spans="2:12" s="321" customFormat="1" ht="21.75" customHeight="1">
      <c r="B40" s="328"/>
      <c r="C40" s="328" t="str">
        <f>ROW(3:3)&amp;". "&amp;IF(ISERR(SEARCH("Thị",D22)),"Ông:","Bà: ")</f>
        <v>3. Ông:</v>
      </c>
      <c r="D40" s="325" t="str">
        <f>DSUCV!B6</f>
        <v>Hồ C</v>
      </c>
      <c r="E40" s="327"/>
      <c r="F40" s="328" t="s">
        <v>398</v>
      </c>
      <c r="G40" s="340">
        <f>DSUCV!Y6</f>
        <v>0.00042496</v>
      </c>
      <c r="H40" s="325" t="str">
        <f>"phiếu/"&amp;DSUCV!X6&amp;" phiếu hợp lệ"</f>
        <v>phiếu/0 phiếu hợp lệ</v>
      </c>
      <c r="I40" s="328"/>
      <c r="J40" s="328"/>
      <c r="K40" s="328"/>
      <c r="L40" s="327"/>
    </row>
    <row r="41" spans="2:12" s="321" customFormat="1" ht="21.75" customHeight="1">
      <c r="B41" s="328"/>
      <c r="C41" s="328" t="str">
        <f>ROW(4:4)&amp;". "&amp;IF(ISERR(SEARCH("Thị",D23)),"Ông:","Bà: ")</f>
        <v>4. Ông:</v>
      </c>
      <c r="D41" s="325" t="str">
        <f>DSUCV!B7</f>
        <v>UV A1</v>
      </c>
      <c r="E41" s="327"/>
      <c r="F41" s="328" t="s">
        <v>398</v>
      </c>
      <c r="G41" s="340">
        <f>DSUCV!Y7</f>
        <v>0.00042496</v>
      </c>
      <c r="H41" s="325" t="str">
        <f>"phiếu/"&amp;DSUCV!X7&amp;" phiếu hợp lệ"</f>
        <v>phiếu/0 phiếu hợp lệ</v>
      </c>
      <c r="I41" s="328"/>
      <c r="J41" s="328"/>
      <c r="K41" s="328"/>
      <c r="L41" s="327"/>
    </row>
    <row r="42" spans="2:12" s="321" customFormat="1" ht="21.75" customHeight="1">
      <c r="B42" s="328"/>
      <c r="C42" s="328" t="str">
        <f>ROW(5:5)&amp;". "&amp;IF(ISERR(SEARCH("Thị",D24)),"Ông:","Bà: ")</f>
        <v>5. Ông:</v>
      </c>
      <c r="D42" s="325" t="str">
        <f>DSUCV!B8</f>
        <v>UV A2</v>
      </c>
      <c r="E42" s="327"/>
      <c r="F42" s="328" t="s">
        <v>398</v>
      </c>
      <c r="G42" s="340">
        <f>DSUCV!Y8</f>
        <v>0.00042496</v>
      </c>
      <c r="H42" s="325" t="str">
        <f>"phiếu/"&amp;DSUCV!X8&amp;" phiếu hợp lệ"</f>
        <v>phiếu/0 phiếu hợp lệ</v>
      </c>
      <c r="I42" s="328"/>
      <c r="J42" s="328"/>
      <c r="K42" s="328"/>
      <c r="L42" s="327"/>
    </row>
    <row r="43" spans="2:12" s="321" customFormat="1" ht="21.75" customHeight="1">
      <c r="B43" s="328"/>
      <c r="C43" s="328" t="str">
        <f>ROW(6:6)&amp;". "&amp;IF(ISERR(SEARCH("Thị",D25)),"Ông:","Bà: ")</f>
        <v>6. Ông:</v>
      </c>
      <c r="D43" s="325" t="str">
        <f>DSUCV!B9</f>
        <v>UV A3</v>
      </c>
      <c r="E43" s="327"/>
      <c r="F43" s="328" t="s">
        <v>398</v>
      </c>
      <c r="G43" s="340">
        <f>DSUCV!Y9</f>
        <v>0.00042496</v>
      </c>
      <c r="H43" s="325" t="str">
        <f>"phiếu/"&amp;DSUCV!X9&amp;" phiếu hợp lệ"</f>
        <v>phiếu/0 phiếu hợp lệ</v>
      </c>
      <c r="I43" s="328"/>
      <c r="J43" s="328"/>
      <c r="K43" s="328"/>
      <c r="L43" s="327"/>
    </row>
    <row r="44" spans="2:12" s="321" customFormat="1" ht="21.75" customHeight="1">
      <c r="B44" s="328"/>
      <c r="C44" s="328" t="str">
        <f t="shared" si="0"/>
        <v>7. Ông:</v>
      </c>
      <c r="D44" s="325" t="str">
        <f>DSUCV!B10</f>
        <v>UV A4</v>
      </c>
      <c r="E44" s="327"/>
      <c r="F44" s="328" t="s">
        <v>398</v>
      </c>
      <c r="G44" s="340">
        <f>DSUCV!Y10</f>
        <v>0.00042496</v>
      </c>
      <c r="H44" s="325" t="str">
        <f>"phiếu/"&amp;DSUCV!X10&amp;" phiếu hợp lệ"</f>
        <v>phiếu/0 phiếu hợp lệ</v>
      </c>
      <c r="I44" s="328"/>
      <c r="J44" s="328"/>
      <c r="K44" s="328"/>
      <c r="L44" s="327"/>
    </row>
    <row r="45" spans="2:12" s="321" customFormat="1" ht="21.75" customHeight="1">
      <c r="B45" s="328"/>
      <c r="C45" s="328" t="str">
        <f t="shared" si="0"/>
        <v>8. Ông:</v>
      </c>
      <c r="D45" s="325" t="str">
        <f>DSUCV!B11</f>
        <v>UV A5</v>
      </c>
      <c r="E45" s="327"/>
      <c r="F45" s="328" t="s">
        <v>398</v>
      </c>
      <c r="G45" s="340">
        <f>DSUCV!Y11</f>
        <v>0.00042496</v>
      </c>
      <c r="H45" s="325" t="str">
        <f>"phiếu/"&amp;DSUCV!X11&amp;" phiếu hợp lệ"</f>
        <v>phiếu/0 phiếu hợp lệ</v>
      </c>
      <c r="I45" s="328"/>
      <c r="J45" s="328"/>
      <c r="K45" s="328"/>
      <c r="L45" s="327"/>
    </row>
    <row r="46" spans="1:12" s="321" customFormat="1" ht="41.25" customHeight="1">
      <c r="A46" s="408" t="s">
        <v>517</v>
      </c>
      <c r="B46" s="408"/>
      <c r="C46" s="408"/>
      <c r="D46" s="408"/>
      <c r="E46" s="408"/>
      <c r="F46" s="408"/>
      <c r="G46" s="408"/>
      <c r="H46" s="408"/>
      <c r="I46" s="408"/>
      <c r="J46" s="408"/>
      <c r="K46" s="408"/>
      <c r="L46" s="408"/>
    </row>
    <row r="47" spans="2:12" s="321" customFormat="1" ht="21.75" customHeight="1">
      <c r="B47" s="330" t="str">
        <f ca="1">"a) Số cử tri đã tham gia bỏ phiếu đạt:   "&amp;ROUND(OFFSET(MauTH!$A$11,MATCH("tổng cộng",MauTH!$A$12:$A$28,),5),2)&amp;"%"</f>
        <v>a) Số cử tri đã tham gia bỏ phiếu đạt:   0%</v>
      </c>
      <c r="C47" s="327"/>
      <c r="D47" s="327"/>
      <c r="E47" s="334"/>
      <c r="F47" s="328"/>
      <c r="G47" s="329" t="s">
        <v>518</v>
      </c>
      <c r="I47" s="327"/>
      <c r="J47" s="327"/>
      <c r="K47" s="327"/>
      <c r="L47" s="327"/>
    </row>
    <row r="48" spans="1:12" s="321" customFormat="1" ht="24" customHeight="1">
      <c r="A48" s="341"/>
      <c r="B48" s="409" t="s">
        <v>519</v>
      </c>
      <c r="C48" s="409"/>
      <c r="D48" s="409"/>
      <c r="E48" s="409"/>
      <c r="F48" s="409"/>
      <c r="G48" s="409"/>
      <c r="H48" s="409"/>
      <c r="I48" s="409"/>
      <c r="J48" s="409"/>
      <c r="K48" s="409"/>
      <c r="L48" s="409"/>
    </row>
    <row r="49" spans="1:12" s="321" customFormat="1" ht="40.5" customHeight="1">
      <c r="A49" s="409" t="s">
        <v>520</v>
      </c>
      <c r="B49" s="409"/>
      <c r="C49" s="409"/>
      <c r="D49" s="409"/>
      <c r="E49" s="409"/>
      <c r="F49" s="409"/>
      <c r="G49" s="409"/>
      <c r="H49" s="409"/>
      <c r="I49" s="409"/>
      <c r="J49" s="409"/>
      <c r="K49" s="409"/>
      <c r="L49" s="409"/>
    </row>
    <row r="50" spans="1:12" s="321" customFormat="1" ht="21.75" customHeight="1">
      <c r="A50" s="327"/>
      <c r="B50" s="328"/>
      <c r="C50" s="325" t="str">
        <f>ROW(1:1)&amp;". "&amp;IF(ISERR(SEARCH("Thị",D33)),"Ông:","Bà: ")</f>
        <v>1. Ông:</v>
      </c>
      <c r="D50" s="325" t="str">
        <f>Mau28!B12</f>
        <v>UV A1</v>
      </c>
      <c r="E50" s="342"/>
      <c r="F50" s="325" t="e">
        <f ca="1">"số phiếu: "&amp;TEXT(OFFSET(DSUCV!$Y$3,MATCH(Mau26!D50,DSUCV!$B$4:$B$69,),),"#.###")&amp;", đạt "&amp;TEXT(100*OFFSET(DSUCV!$Z$3,MATCH(Mau26!D50,DSUCV!$B$4:$B$69,),),"0,00")&amp;"% so với tổng số phiếu hợp lệ"</f>
        <v>#DIV/0!</v>
      </c>
      <c r="G50" s="343"/>
      <c r="H50" s="327"/>
      <c r="I50" s="326"/>
      <c r="J50" s="326"/>
      <c r="K50" s="326"/>
      <c r="L50" s="326"/>
    </row>
    <row r="51" spans="1:12" s="321" customFormat="1" ht="21.75" customHeight="1">
      <c r="A51" s="327"/>
      <c r="B51" s="328"/>
      <c r="C51" s="325" t="str">
        <f aca="true" t="shared" si="1" ref="C51:C58">ROW($A2:$IV2)&amp;". "&amp;IF(ISERR(SEARCH("Thị",D34)),"Ông:","Bà: ")</f>
        <v>2. Ông:</v>
      </c>
      <c r="D51" s="325" t="str">
        <f>Mau28!B13</f>
        <v>UV A2</v>
      </c>
      <c r="E51" s="342"/>
      <c r="F51" s="325" t="e">
        <f ca="1">"số phiếu: "&amp;TEXT(OFFSET(DSUCV!$Y$3,MATCH(Mau26!D51,DSUCV!$B$4:$B$69,),),"#.###")&amp;", đạt "&amp;TEXT(100*OFFSET(DSUCV!$Z$3,MATCH(Mau26!D51,DSUCV!$B$4:$B$69,),),"0,00")&amp;"% so với tổng số phiếu hợp lệ"</f>
        <v>#DIV/0!</v>
      </c>
      <c r="G51" s="343"/>
      <c r="H51" s="327"/>
      <c r="I51" s="326"/>
      <c r="J51" s="326"/>
      <c r="K51" s="326"/>
      <c r="L51" s="326"/>
    </row>
    <row r="52" spans="1:12" s="321" customFormat="1" ht="21.75" customHeight="1">
      <c r="A52" s="327"/>
      <c r="B52" s="328"/>
      <c r="C52" s="325" t="str">
        <f t="shared" si="1"/>
        <v>3. Ông:</v>
      </c>
      <c r="D52" s="325" t="str">
        <f>Mau28!B14</f>
        <v>UV A3</v>
      </c>
      <c r="E52" s="342"/>
      <c r="F52" s="325" t="e">
        <f ca="1">"số phiếu: "&amp;TEXT(OFFSET(DSUCV!$Y$3,MATCH(Mau26!D52,DSUCV!$B$4:$B$69,),),"#.###")&amp;", đạt "&amp;TEXT(100*OFFSET(DSUCV!$Z$3,MATCH(Mau26!D52,DSUCV!$B$4:$B$69,),),"0,00")&amp;"% so với tổng số phiếu hợp lệ"</f>
        <v>#DIV/0!</v>
      </c>
      <c r="G52" s="343"/>
      <c r="H52" s="327"/>
      <c r="I52" s="326"/>
      <c r="J52" s="326"/>
      <c r="K52" s="326"/>
      <c r="L52" s="326"/>
    </row>
    <row r="53" spans="1:12" s="321" customFormat="1" ht="21.75" customHeight="1">
      <c r="A53" s="327"/>
      <c r="B53" s="328"/>
      <c r="C53" s="325" t="str">
        <f t="shared" si="1"/>
        <v>4. Ông:</v>
      </c>
      <c r="D53" s="325" t="str">
        <f>Mau28!B15</f>
        <v>Trấn B</v>
      </c>
      <c r="E53" s="342"/>
      <c r="F53" s="325" t="e">
        <f ca="1">"số phiếu: "&amp;TEXT(OFFSET(DSUCV!$Y$3,MATCH(Mau26!D53,DSUCV!$B$4:$B$69,),),"#.###")&amp;", đạt "&amp;TEXT(100*OFFSET(DSUCV!$Z$3,MATCH(Mau26!D53,DSUCV!$B$4:$B$69,),),"0,00")&amp;"% so với tổng số phiếu hợp lệ"</f>
        <v>#DIV/0!</v>
      </c>
      <c r="G53" s="343"/>
      <c r="H53" s="327"/>
      <c r="I53" s="326"/>
      <c r="J53" s="326"/>
      <c r="K53" s="326"/>
      <c r="L53" s="326"/>
    </row>
    <row r="54" spans="1:12" s="321" customFormat="1" ht="21.75" customHeight="1">
      <c r="A54" s="327"/>
      <c r="B54" s="328"/>
      <c r="C54" s="325" t="str">
        <f t="shared" si="1"/>
        <v>5. Ông:</v>
      </c>
      <c r="D54" s="325" t="str">
        <f>Mau28!B16</f>
        <v>Hoang BooKi</v>
      </c>
      <c r="E54" s="342"/>
      <c r="F54" s="325" t="e">
        <f ca="1">"số phiếu: "&amp;TEXT(OFFSET(DSUCV!$Y$3,MATCH(Mau26!D54,DSUCV!$B$4:$B$69,),),"#.###")&amp;", đạt "&amp;TEXT(100*OFFSET(DSUCV!$Z$3,MATCH(Mau26!D54,DSUCV!$B$4:$B$69,),),"0,00")&amp;"% so với tổng số phiếu hợp lệ"</f>
        <v>#DIV/0!</v>
      </c>
      <c r="G54" s="343"/>
      <c r="H54" s="327"/>
      <c r="I54" s="326"/>
      <c r="J54" s="326"/>
      <c r="K54" s="326"/>
      <c r="L54" s="326"/>
    </row>
    <row r="55" spans="1:12" s="321" customFormat="1" ht="21.75" customHeight="1">
      <c r="A55" s="327"/>
      <c r="B55" s="328"/>
      <c r="C55" s="325" t="str">
        <f t="shared" si="1"/>
        <v>6. Ông:</v>
      </c>
      <c r="D55" s="325">
        <f>Mau28!B17</f>
        <v>0</v>
      </c>
      <c r="E55" s="342"/>
      <c r="F55" s="325" t="e">
        <f ca="1">"số phiếu: "&amp;TEXT(OFFSET(DSUCV!$Y$3,MATCH(Mau26!D55,DSUCV!$B$4:$B$69,),),"#.###")&amp;", đạt "&amp;TEXT(100*OFFSET(DSUCV!$Z$3,MATCH(Mau26!D55,DSUCV!$B$4:$B$69,),),"0,00")&amp;"% so với tổng số phiếu hợp lệ"</f>
        <v>#N/A</v>
      </c>
      <c r="G55" s="343"/>
      <c r="H55" s="327"/>
      <c r="I55" s="326"/>
      <c r="J55" s="326"/>
      <c r="K55" s="326"/>
      <c r="L55" s="326"/>
    </row>
    <row r="56" spans="1:12" s="321" customFormat="1" ht="21.75" customHeight="1">
      <c r="A56" s="327"/>
      <c r="B56" s="328"/>
      <c r="C56" s="325" t="str">
        <f t="shared" si="1"/>
        <v>7. Ông:</v>
      </c>
      <c r="D56" s="325">
        <f>Mau28!B18</f>
        <v>0</v>
      </c>
      <c r="E56" s="342"/>
      <c r="F56" s="325" t="e">
        <f ca="1">"số phiếu: "&amp;TEXT(OFFSET(DSUCV!$Y$3,MATCH(Mau26!D56,DSUCV!$B$4:$B$69,),),"#.###")&amp;", đạt "&amp;TEXT(100*OFFSET(DSUCV!$Z$3,MATCH(Mau26!D56,DSUCV!$B$4:$B$69,),),"0,00")&amp;"% so với tổng số phiếu hợp lệ"</f>
        <v>#N/A</v>
      </c>
      <c r="G56" s="343"/>
      <c r="H56" s="327"/>
      <c r="I56" s="326"/>
      <c r="J56" s="326"/>
      <c r="K56" s="326"/>
      <c r="L56" s="326"/>
    </row>
    <row r="57" spans="1:12" s="321" customFormat="1" ht="21.75" customHeight="1">
      <c r="A57" s="327"/>
      <c r="B57" s="328"/>
      <c r="C57" s="325" t="str">
        <f t="shared" si="1"/>
        <v>8. Ông:</v>
      </c>
      <c r="D57" s="325">
        <f>Mau28!B19</f>
        <v>0</v>
      </c>
      <c r="E57" s="342"/>
      <c r="F57" s="325" t="e">
        <f ca="1">"số phiếu: "&amp;TEXT(OFFSET(DSUCV!$Y$3,MATCH(Mau26!D57,DSUCV!$B$4:$B$69,),),"#.###")&amp;", đạt "&amp;TEXT(100*OFFSET(DSUCV!$Z$3,MATCH(Mau26!D57,DSUCV!$B$4:$B$69,),),"0,00")&amp;"% so với tổng số phiếu hợp lệ"</f>
        <v>#N/A</v>
      </c>
      <c r="G57" s="343"/>
      <c r="H57" s="327"/>
      <c r="I57" s="326"/>
      <c r="J57" s="326"/>
      <c r="K57" s="326"/>
      <c r="L57" s="326"/>
    </row>
    <row r="58" spans="1:12" s="321" customFormat="1" ht="21.75" customHeight="1">
      <c r="A58" s="327"/>
      <c r="B58" s="328"/>
      <c r="C58" s="325" t="str">
        <f t="shared" si="1"/>
        <v>9. Ông:</v>
      </c>
      <c r="D58" s="325">
        <f>Mau28!B20</f>
        <v>0</v>
      </c>
      <c r="E58" s="342"/>
      <c r="F58" s="325" t="e">
        <f ca="1">"số phiếu: "&amp;TEXT(OFFSET(DSUCV!$Y$3,MATCH(Mau26!D58,DSUCV!$B$4:$B$69,),),"#.###")&amp;", đạt "&amp;TEXT(100*OFFSET(DSUCV!$Z$3,MATCH(Mau26!D58,DSUCV!$B$4:$B$69,),),"0,00")&amp;"% so với tổng số phiếu hợp lệ"</f>
        <v>#N/A</v>
      </c>
      <c r="G58" s="343"/>
      <c r="H58" s="327"/>
      <c r="I58" s="326"/>
      <c r="J58" s="326"/>
      <c r="K58" s="326"/>
      <c r="L58" s="326"/>
    </row>
    <row r="59" spans="1:12" s="321" customFormat="1" ht="54.75" customHeight="1">
      <c r="A59" s="407" t="s">
        <v>521</v>
      </c>
      <c r="B59" s="407"/>
      <c r="C59" s="407"/>
      <c r="D59" s="407"/>
      <c r="E59" s="407"/>
      <c r="F59" s="407"/>
      <c r="G59" s="407"/>
      <c r="H59" s="407"/>
      <c r="I59" s="407"/>
      <c r="J59" s="407"/>
      <c r="K59" s="407"/>
      <c r="L59" s="407"/>
    </row>
    <row r="60" spans="1:12" s="344" customFormat="1" ht="20.25" customHeight="1">
      <c r="A60" s="410" t="s">
        <v>522</v>
      </c>
      <c r="B60" s="410"/>
      <c r="C60" s="410"/>
      <c r="D60" s="410"/>
      <c r="E60" s="410"/>
      <c r="F60" s="410"/>
      <c r="G60" s="410"/>
      <c r="H60" s="410"/>
      <c r="I60" s="410"/>
      <c r="J60" s="410"/>
      <c r="K60" s="410"/>
      <c r="L60" s="410"/>
    </row>
    <row r="61" spans="1:12" s="344" customFormat="1" ht="16.5" customHeight="1">
      <c r="A61" s="411" t="s">
        <v>523</v>
      </c>
      <c r="B61" s="411"/>
      <c r="C61" s="411"/>
      <c r="D61" s="411"/>
      <c r="E61" s="411"/>
      <c r="F61" s="411"/>
      <c r="G61" s="411"/>
      <c r="H61" s="411"/>
      <c r="I61" s="411"/>
      <c r="J61" s="411"/>
      <c r="K61" s="411"/>
      <c r="L61" s="411"/>
    </row>
    <row r="62" spans="1:12" s="344" customFormat="1" ht="19.5" customHeight="1">
      <c r="A62" s="345" t="s">
        <v>524</v>
      </c>
      <c r="B62" s="345"/>
      <c r="C62" s="345"/>
      <c r="D62" s="345"/>
      <c r="E62" s="345"/>
      <c r="F62" s="345"/>
      <c r="G62" s="345"/>
      <c r="H62" s="345"/>
      <c r="I62" s="345"/>
      <c r="J62" s="345"/>
      <c r="K62" s="345"/>
      <c r="L62" s="345"/>
    </row>
    <row r="63" spans="1:12" s="323" customFormat="1" ht="16.5" customHeight="1">
      <c r="A63" s="411" t="s">
        <v>523</v>
      </c>
      <c r="B63" s="411"/>
      <c r="C63" s="411"/>
      <c r="D63" s="411"/>
      <c r="E63" s="411"/>
      <c r="F63" s="411"/>
      <c r="G63" s="411"/>
      <c r="H63" s="411"/>
      <c r="I63" s="411"/>
      <c r="J63" s="411"/>
      <c r="K63" s="411"/>
      <c r="L63" s="411"/>
    </row>
    <row r="64" spans="2:11" s="344" customFormat="1" ht="19.5" customHeight="1">
      <c r="B64" s="345" t="s">
        <v>525</v>
      </c>
      <c r="D64" s="346"/>
      <c r="E64" s="346"/>
      <c r="F64" s="346"/>
      <c r="G64" s="346"/>
      <c r="H64" s="346"/>
      <c r="I64" s="346"/>
      <c r="J64" s="346"/>
      <c r="K64" s="346"/>
    </row>
    <row r="65" spans="1:12" s="323" customFormat="1" ht="16.5" customHeight="1">
      <c r="A65" s="411" t="s">
        <v>523</v>
      </c>
      <c r="B65" s="411"/>
      <c r="C65" s="411"/>
      <c r="D65" s="411"/>
      <c r="E65" s="411"/>
      <c r="F65" s="411"/>
      <c r="G65" s="411"/>
      <c r="H65" s="411"/>
      <c r="I65" s="411"/>
      <c r="J65" s="411"/>
      <c r="K65" s="411"/>
      <c r="L65" s="411"/>
    </row>
    <row r="66" spans="2:11" s="344" customFormat="1" ht="19.5" customHeight="1">
      <c r="B66" s="345" t="s">
        <v>526</v>
      </c>
      <c r="D66" s="346"/>
      <c r="E66" s="346"/>
      <c r="F66" s="346"/>
      <c r="G66" s="346"/>
      <c r="H66" s="346"/>
      <c r="I66" s="346"/>
      <c r="J66" s="346"/>
      <c r="K66" s="346"/>
    </row>
    <row r="67" spans="1:12" s="323" customFormat="1" ht="16.5" customHeight="1">
      <c r="A67" s="411" t="s">
        <v>523</v>
      </c>
      <c r="B67" s="411"/>
      <c r="C67" s="411"/>
      <c r="D67" s="411"/>
      <c r="E67" s="411"/>
      <c r="F67" s="411"/>
      <c r="G67" s="411"/>
      <c r="H67" s="411"/>
      <c r="I67" s="411"/>
      <c r="J67" s="411"/>
      <c r="K67" s="411"/>
      <c r="L67" s="411"/>
    </row>
    <row r="68" spans="1:12" s="344" customFormat="1" ht="69" customHeight="1">
      <c r="A68" s="406" t="s">
        <v>527</v>
      </c>
      <c r="B68" s="406"/>
      <c r="C68" s="406"/>
      <c r="D68" s="406"/>
      <c r="E68" s="406"/>
      <c r="F68" s="406"/>
      <c r="G68" s="406"/>
      <c r="H68" s="406"/>
      <c r="I68" s="406"/>
      <c r="J68" s="406"/>
      <c r="K68" s="406"/>
      <c r="L68" s="406"/>
    </row>
    <row r="69" spans="2:11" s="344" customFormat="1" ht="21.75" customHeight="1">
      <c r="B69" s="347"/>
      <c r="C69" s="345" t="s">
        <v>528</v>
      </c>
      <c r="D69" s="346"/>
      <c r="E69" s="346"/>
      <c r="F69" s="346"/>
      <c r="G69" s="346"/>
      <c r="H69" s="346"/>
      <c r="I69" s="346"/>
      <c r="J69" s="346"/>
      <c r="K69" s="346"/>
    </row>
    <row r="70" spans="1:12" s="323" customFormat="1" ht="20.25" customHeight="1">
      <c r="A70" s="411" t="s">
        <v>523</v>
      </c>
      <c r="B70" s="411"/>
      <c r="C70" s="411"/>
      <c r="D70" s="411"/>
      <c r="E70" s="411"/>
      <c r="F70" s="411"/>
      <c r="G70" s="411"/>
      <c r="H70" s="411"/>
      <c r="I70" s="411"/>
      <c r="J70" s="411"/>
      <c r="K70" s="411"/>
      <c r="L70" s="411"/>
    </row>
    <row r="71" spans="1:12" s="323" customFormat="1" ht="20.25" customHeight="1">
      <c r="A71" s="411" t="s">
        <v>523</v>
      </c>
      <c r="B71" s="411"/>
      <c r="C71" s="411"/>
      <c r="D71" s="411"/>
      <c r="E71" s="411"/>
      <c r="F71" s="411"/>
      <c r="G71" s="411"/>
      <c r="H71" s="411"/>
      <c r="I71" s="411"/>
      <c r="J71" s="411"/>
      <c r="K71" s="411"/>
      <c r="L71" s="411"/>
    </row>
    <row r="72" spans="1:12" s="349" customFormat="1" ht="20.25" customHeight="1">
      <c r="A72" s="348"/>
      <c r="B72" s="348"/>
      <c r="C72" s="348"/>
      <c r="D72" s="348"/>
      <c r="E72" s="348"/>
      <c r="F72" s="348"/>
      <c r="G72" s="348"/>
      <c r="H72" s="348"/>
      <c r="I72" s="348"/>
      <c r="J72" s="348"/>
      <c r="K72" s="348"/>
      <c r="L72" s="348"/>
    </row>
    <row r="73" spans="1:11" ht="36.75" customHeight="1">
      <c r="A73" s="350"/>
      <c r="B73" s="350"/>
      <c r="C73" s="413" t="s">
        <v>529</v>
      </c>
      <c r="D73" s="413"/>
      <c r="E73" s="351"/>
      <c r="F73" s="350"/>
      <c r="G73" s="414" t="s">
        <v>530</v>
      </c>
      <c r="H73" s="414"/>
      <c r="I73" s="414"/>
      <c r="J73" s="414"/>
      <c r="K73" s="414"/>
    </row>
    <row r="74" spans="3:11" s="352" customFormat="1" ht="15.75" customHeight="1">
      <c r="C74" s="415" t="s">
        <v>395</v>
      </c>
      <c r="D74" s="415"/>
      <c r="E74" s="353"/>
      <c r="F74" s="354"/>
      <c r="G74" s="415" t="s">
        <v>313</v>
      </c>
      <c r="H74" s="415"/>
      <c r="I74" s="415"/>
      <c r="J74" s="415"/>
      <c r="K74" s="415"/>
    </row>
    <row r="75" spans="2:5" ht="21.75" customHeight="1">
      <c r="B75" s="355"/>
      <c r="C75" s="412" t="s">
        <v>312</v>
      </c>
      <c r="D75" s="412"/>
      <c r="E75" s="356"/>
    </row>
  </sheetData>
  <sheetProtection/>
  <mergeCells count="30">
    <mergeCell ref="C75:D75"/>
    <mergeCell ref="A71:L71"/>
    <mergeCell ref="C73:D73"/>
    <mergeCell ref="G73:K73"/>
    <mergeCell ref="C74:D74"/>
    <mergeCell ref="G74:K74"/>
    <mergeCell ref="A61:L61"/>
    <mergeCell ref="A63:L63"/>
    <mergeCell ref="A65:L65"/>
    <mergeCell ref="A67:L67"/>
    <mergeCell ref="A68:L68"/>
    <mergeCell ref="A70:L70"/>
    <mergeCell ref="A29:L29"/>
    <mergeCell ref="A46:L46"/>
    <mergeCell ref="B48:L48"/>
    <mergeCell ref="A49:L49"/>
    <mergeCell ref="A59:L59"/>
    <mergeCell ref="A60:L60"/>
    <mergeCell ref="A10:L10"/>
    <mergeCell ref="A11:L11"/>
    <mergeCell ref="A13:L13"/>
    <mergeCell ref="A26:L26"/>
    <mergeCell ref="A27:L27"/>
    <mergeCell ref="A28:L28"/>
    <mergeCell ref="A3:D3"/>
    <mergeCell ref="A4:D4"/>
    <mergeCell ref="A5:D5"/>
    <mergeCell ref="A6:D6"/>
    <mergeCell ref="A8:L8"/>
    <mergeCell ref="A9:L9"/>
  </mergeCells>
  <printOptions/>
  <pageMargins left="0.76" right="0.2" top="0.5118110236220472" bottom="0.47" header="0.31496062992125984" footer="0.24"/>
  <pageSetup fitToHeight="0" fitToWidth="1" horizontalDpi="600" verticalDpi="600" orientation="portrait" paperSize="9" scale="91" r:id="rId2"/>
  <headerFooter>
    <oddFooter>&amp;CTrang &amp;P</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N217"/>
  <sheetViews>
    <sheetView showZeros="0" zoomScale="70" zoomScaleNormal="70" zoomScalePageLayoutView="0" workbookViewId="0" topLeftCell="A1">
      <pane xSplit="255" ySplit="8" topLeftCell="IV186" activePane="bottomRight" state="frozen"/>
      <selection pane="topLeft" activeCell="A1" sqref="A1"/>
      <selection pane="topRight" activeCell="IV1" sqref="IV1"/>
      <selection pane="bottomLeft" activeCell="A9" sqref="A9"/>
      <selection pane="bottomRight" activeCell="I36" sqref="I36"/>
    </sheetView>
  </sheetViews>
  <sheetFormatPr defaultColWidth="0.2421875" defaultRowHeight="15.75" zeroHeight="1"/>
  <cols>
    <col min="1" max="1" width="3.625" style="93" customWidth="1"/>
    <col min="2" max="2" width="4.375" style="101" customWidth="1"/>
    <col min="3" max="5" width="5.625" style="93" customWidth="1"/>
    <col min="6" max="6" width="7.00390625" style="93" customWidth="1"/>
    <col min="7" max="7" width="6.50390625" style="93" customWidth="1"/>
    <col min="8" max="8" width="6.875" style="93" customWidth="1"/>
    <col min="9" max="9" width="6.25390625" style="93" customWidth="1"/>
    <col min="10" max="10" width="6.75390625" style="93" customWidth="1"/>
    <col min="11" max="11" width="6.00390625" style="93" customWidth="1"/>
    <col min="12" max="12" width="6.875" style="93" customWidth="1"/>
    <col min="13" max="13" width="18.375" style="93" customWidth="1"/>
    <col min="14" max="14" width="1.75390625" style="93" customWidth="1"/>
    <col min="15" max="254" width="0.2421875" style="93" customWidth="1"/>
    <col min="255" max="255" width="0.875" style="93" customWidth="1"/>
    <col min="256" max="16384" width="0.2421875" style="93" customWidth="1"/>
  </cols>
  <sheetData>
    <row r="1" spans="11:13" ht="15">
      <c r="K1" s="483" t="s">
        <v>360</v>
      </c>
      <c r="L1" s="483"/>
      <c r="M1" s="483"/>
    </row>
    <row r="2" ht="6.75" customHeight="1">
      <c r="L2" s="102"/>
    </row>
    <row r="3" spans="1:13" s="181" customFormat="1" ht="15" customHeight="1">
      <c r="A3" s="486" t="s">
        <v>359</v>
      </c>
      <c r="B3" s="486"/>
      <c r="C3" s="486"/>
      <c r="D3" s="486"/>
      <c r="E3" s="178"/>
      <c r="F3" s="179" t="s">
        <v>311</v>
      </c>
      <c r="G3" s="180"/>
      <c r="H3" s="180"/>
      <c r="I3" s="180"/>
      <c r="J3" s="180"/>
      <c r="K3" s="180"/>
      <c r="L3" s="180"/>
      <c r="M3" s="180"/>
    </row>
    <row r="4" spans="1:13" s="177" customFormat="1" ht="15.75" customHeight="1">
      <c r="A4" s="487" t="str">
        <f>UPPER(TenXa)</f>
        <v>XÃ HƯỚNG PHÙNG</v>
      </c>
      <c r="B4" s="487"/>
      <c r="C4" s="487"/>
      <c r="D4" s="487"/>
      <c r="E4" s="182"/>
      <c r="F4" s="183" t="s">
        <v>310</v>
      </c>
      <c r="G4" s="176"/>
      <c r="H4" s="176"/>
      <c r="I4" s="176"/>
      <c r="J4" s="176"/>
      <c r="K4" s="176"/>
      <c r="L4" s="176"/>
      <c r="M4" s="176"/>
    </row>
    <row r="5" spans="2:6" ht="16.5" customHeight="1">
      <c r="B5" s="103"/>
      <c r="C5" s="105"/>
      <c r="D5" s="105"/>
      <c r="E5" s="105"/>
      <c r="F5" s="104"/>
    </row>
    <row r="6" spans="1:13" ht="18.75">
      <c r="A6" s="484" t="s">
        <v>358</v>
      </c>
      <c r="B6" s="484"/>
      <c r="C6" s="484"/>
      <c r="D6" s="484"/>
      <c r="E6" s="484"/>
      <c r="F6" s="484"/>
      <c r="G6" s="484"/>
      <c r="H6" s="484"/>
      <c r="I6" s="484"/>
      <c r="J6" s="484"/>
      <c r="K6" s="484"/>
      <c r="L6" s="484"/>
      <c r="M6" s="484"/>
    </row>
    <row r="7" spans="1:13" ht="18" customHeight="1">
      <c r="A7" s="484" t="s">
        <v>357</v>
      </c>
      <c r="B7" s="484"/>
      <c r="C7" s="484"/>
      <c r="D7" s="484"/>
      <c r="E7" s="484"/>
      <c r="F7" s="484"/>
      <c r="G7" s="484"/>
      <c r="H7" s="484"/>
      <c r="I7" s="484"/>
      <c r="J7" s="484"/>
      <c r="K7" s="484"/>
      <c r="L7" s="484"/>
      <c r="M7" s="484"/>
    </row>
    <row r="8" spans="1:13" ht="18" customHeight="1">
      <c r="A8" s="485" t="s">
        <v>356</v>
      </c>
      <c r="B8" s="485"/>
      <c r="C8" s="485"/>
      <c r="D8" s="485"/>
      <c r="E8" s="485"/>
      <c r="F8" s="485"/>
      <c r="G8" s="485"/>
      <c r="H8" s="485"/>
      <c r="I8" s="485"/>
      <c r="J8" s="485"/>
      <c r="K8" s="485"/>
      <c r="L8" s="485"/>
      <c r="M8" s="485"/>
    </row>
    <row r="9" ht="17.25" customHeight="1">
      <c r="B9" s="106"/>
    </row>
    <row r="10" spans="1:13" ht="35.25" customHeight="1">
      <c r="A10" s="428" t="s">
        <v>355</v>
      </c>
      <c r="B10" s="428"/>
      <c r="C10" s="428"/>
      <c r="D10" s="428"/>
      <c r="E10" s="428"/>
      <c r="F10" s="428"/>
      <c r="G10" s="428"/>
      <c r="H10" s="428"/>
      <c r="I10" s="428"/>
      <c r="J10" s="428"/>
      <c r="K10" s="428"/>
      <c r="L10" s="428"/>
      <c r="M10" s="428"/>
    </row>
    <row r="11" spans="1:12" ht="19.5" customHeight="1">
      <c r="A11" s="107"/>
      <c r="C11" s="100">
        <f>COUNTA($D$11:D11)</f>
        <v>1</v>
      </c>
      <c r="D11" s="98" t="str">
        <f aca="true" t="shared" si="0" ref="D11:D22">IF(ISNUMBER(SEARCH("thị",E11)),"Bà: ","Ông:")</f>
        <v>Ông:</v>
      </c>
      <c r="E11" s="98" t="str">
        <f>TTinDV!I6</f>
        <v>Trần Văn Hoàng</v>
      </c>
      <c r="F11" s="99"/>
      <c r="G11" s="98"/>
      <c r="H11" s="99"/>
      <c r="I11" s="98" t="str">
        <f>"- "&amp;TTinDV!J6</f>
        <v>- Chủ tịch</v>
      </c>
      <c r="K11" s="108"/>
      <c r="L11" s="109"/>
    </row>
    <row r="12" spans="1:12" ht="19.5" customHeight="1">
      <c r="A12" s="107"/>
      <c r="C12" s="100">
        <f>COUNTA($D$11:D12)</f>
        <v>2</v>
      </c>
      <c r="D12" s="98" t="str">
        <f t="shared" si="0"/>
        <v>Bà: </v>
      </c>
      <c r="E12" s="98" t="str">
        <f>TTinDV!I7</f>
        <v>Hồ Thị Trương</v>
      </c>
      <c r="F12" s="99"/>
      <c r="G12" s="98"/>
      <c r="H12" s="99"/>
      <c r="I12" s="98" t="str">
        <f>"- "&amp;TTinDV!J7</f>
        <v>- P Chủ tịch</v>
      </c>
      <c r="K12" s="108"/>
      <c r="L12" s="108"/>
    </row>
    <row r="13" spans="1:12" ht="19.5" customHeight="1">
      <c r="A13" s="107"/>
      <c r="C13" s="100">
        <f>COUNTA($D$11:D13)</f>
        <v>3</v>
      </c>
      <c r="D13" s="98" t="str">
        <f t="shared" si="0"/>
        <v>Ông:</v>
      </c>
      <c r="E13" s="98">
        <f>TTinDV!I8</f>
        <v>0</v>
      </c>
      <c r="F13" s="99"/>
      <c r="G13" s="98"/>
      <c r="H13" s="99"/>
      <c r="I13" s="98" t="str">
        <f>"- "&amp;TTinDV!J8</f>
        <v>- </v>
      </c>
      <c r="K13" s="108"/>
      <c r="L13" s="108"/>
    </row>
    <row r="14" spans="1:12" ht="19.5" customHeight="1">
      <c r="A14" s="107"/>
      <c r="C14" s="100">
        <f>COUNTA($D$11:D14)</f>
        <v>4</v>
      </c>
      <c r="D14" s="98" t="str">
        <f t="shared" si="0"/>
        <v>Ông:</v>
      </c>
      <c r="E14" s="98">
        <f>TTinDV!I9</f>
        <v>0</v>
      </c>
      <c r="F14" s="99"/>
      <c r="G14" s="98"/>
      <c r="H14" s="99"/>
      <c r="I14" s="98" t="str">
        <f>"- "&amp;TTinDV!J9</f>
        <v>- </v>
      </c>
      <c r="K14" s="108"/>
      <c r="L14" s="108"/>
    </row>
    <row r="15" spans="1:12" ht="19.5" customHeight="1">
      <c r="A15" s="107"/>
      <c r="C15" s="100">
        <f>COUNTA($D$11:D15)</f>
        <v>5</v>
      </c>
      <c r="D15" s="98" t="str">
        <f t="shared" si="0"/>
        <v>Ông:</v>
      </c>
      <c r="E15" s="98">
        <f>TTinDV!I10</f>
        <v>0</v>
      </c>
      <c r="F15" s="99"/>
      <c r="G15" s="98"/>
      <c r="H15" s="99"/>
      <c r="I15" s="98" t="str">
        <f>"- "&amp;TTinDV!J10</f>
        <v>- </v>
      </c>
      <c r="K15" s="108"/>
      <c r="L15" s="108"/>
    </row>
    <row r="16" spans="1:12" ht="19.5" customHeight="1">
      <c r="A16" s="107"/>
      <c r="C16" s="100">
        <f>COUNTA($D$11:D16)</f>
        <v>6</v>
      </c>
      <c r="D16" s="98" t="str">
        <f t="shared" si="0"/>
        <v>Ông:</v>
      </c>
      <c r="E16" s="98">
        <f>TTinDV!I11</f>
        <v>0</v>
      </c>
      <c r="F16" s="99"/>
      <c r="G16" s="98"/>
      <c r="H16" s="99"/>
      <c r="I16" s="98" t="str">
        <f>"- "&amp;TTinDV!J11</f>
        <v>- </v>
      </c>
      <c r="K16" s="108"/>
      <c r="L16" s="108"/>
    </row>
    <row r="17" spans="1:12" ht="19.5" customHeight="1">
      <c r="A17" s="107"/>
      <c r="C17" s="100">
        <f>COUNTA($D$11:D17)</f>
        <v>7</v>
      </c>
      <c r="D17" s="98" t="str">
        <f t="shared" si="0"/>
        <v>Ông:</v>
      </c>
      <c r="E17" s="98">
        <f>TTinDV!I12</f>
        <v>0</v>
      </c>
      <c r="F17" s="99"/>
      <c r="G17" s="98"/>
      <c r="H17" s="99"/>
      <c r="I17" s="98" t="str">
        <f>"- "&amp;TTinDV!J12</f>
        <v>- </v>
      </c>
      <c r="K17" s="108"/>
      <c r="L17" s="108"/>
    </row>
    <row r="18" spans="1:12" ht="19.5" customHeight="1">
      <c r="A18" s="107"/>
      <c r="C18" s="100">
        <f>COUNTA($D$11:D18)</f>
        <v>8</v>
      </c>
      <c r="D18" s="98" t="str">
        <f t="shared" si="0"/>
        <v>Ông:</v>
      </c>
      <c r="E18" s="98">
        <f>TTinDV!I13</f>
        <v>0</v>
      </c>
      <c r="F18" s="99"/>
      <c r="G18" s="98"/>
      <c r="H18" s="99"/>
      <c r="I18" s="98" t="str">
        <f>"- "&amp;TTinDV!J13</f>
        <v>- </v>
      </c>
      <c r="K18" s="108"/>
      <c r="L18" s="108"/>
    </row>
    <row r="19" spans="1:12" ht="19.5" customHeight="1">
      <c r="A19" s="107"/>
      <c r="C19" s="100">
        <f>COUNTA($D$11:D19)</f>
        <v>9</v>
      </c>
      <c r="D19" s="98" t="str">
        <f t="shared" si="0"/>
        <v>Ông:</v>
      </c>
      <c r="E19" s="98">
        <f>TTinDV!I14</f>
        <v>0</v>
      </c>
      <c r="F19" s="99"/>
      <c r="G19" s="98"/>
      <c r="H19" s="99"/>
      <c r="I19" s="98" t="str">
        <f>"- "&amp;TTinDV!J14</f>
        <v>- </v>
      </c>
      <c r="K19" s="108"/>
      <c r="L19" s="108"/>
    </row>
    <row r="20" spans="1:12" ht="19.5" customHeight="1">
      <c r="A20" s="107"/>
      <c r="C20" s="100">
        <f>COUNTA($D$11:D20)</f>
        <v>10</v>
      </c>
      <c r="D20" s="98" t="str">
        <f t="shared" si="0"/>
        <v>Ông:</v>
      </c>
      <c r="E20" s="98">
        <f>TTinDV!I15</f>
        <v>0</v>
      </c>
      <c r="F20" s="99"/>
      <c r="G20" s="98"/>
      <c r="H20" s="99"/>
      <c r="I20" s="98" t="str">
        <f>"- "&amp;TTinDV!J15</f>
        <v>- </v>
      </c>
      <c r="K20" s="108"/>
      <c r="L20" s="108"/>
    </row>
    <row r="21" spans="1:12" ht="19.5" customHeight="1">
      <c r="A21" s="107"/>
      <c r="C21" s="100">
        <f>COUNTA($D$11:D21)</f>
        <v>11</v>
      </c>
      <c r="D21" s="98" t="str">
        <f t="shared" si="0"/>
        <v>Ông:</v>
      </c>
      <c r="E21" s="98">
        <f>TTinDV!I16</f>
        <v>0</v>
      </c>
      <c r="F21" s="99"/>
      <c r="G21" s="98"/>
      <c r="I21" s="98" t="str">
        <f>"- "&amp;TTinDV!J16</f>
        <v>- </v>
      </c>
      <c r="K21" s="108"/>
      <c r="L21" s="108"/>
    </row>
    <row r="22" spans="1:12" ht="19.5" customHeight="1">
      <c r="A22" s="107"/>
      <c r="C22" s="100">
        <f>COUNTA($D$11:D22)</f>
        <v>12</v>
      </c>
      <c r="D22" s="98" t="str">
        <f t="shared" si="0"/>
        <v>Ông:</v>
      </c>
      <c r="E22" s="98">
        <f>TTinDV!I17</f>
        <v>0</v>
      </c>
      <c r="F22" s="99"/>
      <c r="G22" s="98"/>
      <c r="H22" s="99"/>
      <c r="I22" s="98" t="str">
        <f>"- "&amp;TTinDV!J17</f>
        <v>- </v>
      </c>
      <c r="K22" s="108"/>
      <c r="L22" s="108"/>
    </row>
    <row r="23" spans="2:9" ht="3.75" customHeight="1">
      <c r="B23" s="110"/>
      <c r="C23" s="109"/>
      <c r="D23" s="93" t="s">
        <v>354</v>
      </c>
      <c r="E23" s="109"/>
      <c r="I23" s="93" t="s">
        <v>353</v>
      </c>
    </row>
    <row r="24" spans="1:13" ht="38.25" customHeight="1">
      <c r="A24" s="428" t="s">
        <v>352</v>
      </c>
      <c r="B24" s="428"/>
      <c r="C24" s="428"/>
      <c r="D24" s="428"/>
      <c r="E24" s="428"/>
      <c r="F24" s="428"/>
      <c r="G24" s="428"/>
      <c r="H24" s="428"/>
      <c r="I24" s="428"/>
      <c r="J24" s="428"/>
      <c r="K24" s="428"/>
      <c r="L24" s="428"/>
      <c r="M24" s="428"/>
    </row>
    <row r="25" spans="1:13" ht="84" customHeight="1">
      <c r="A25" s="428" t="s">
        <v>351</v>
      </c>
      <c r="B25" s="428"/>
      <c r="C25" s="428"/>
      <c r="D25" s="428"/>
      <c r="E25" s="428"/>
      <c r="F25" s="428"/>
      <c r="G25" s="428"/>
      <c r="H25" s="428"/>
      <c r="I25" s="428"/>
      <c r="J25" s="428"/>
      <c r="K25" s="428"/>
      <c r="L25" s="428"/>
      <c r="M25" s="428"/>
    </row>
    <row r="26" spans="1:13" ht="54" customHeight="1">
      <c r="A26" s="428" t="s">
        <v>350</v>
      </c>
      <c r="B26" s="428"/>
      <c r="C26" s="428"/>
      <c r="D26" s="428"/>
      <c r="E26" s="428"/>
      <c r="F26" s="428"/>
      <c r="G26" s="428"/>
      <c r="H26" s="428"/>
      <c r="I26" s="428"/>
      <c r="J26" s="428"/>
      <c r="K26" s="428"/>
      <c r="L26" s="428"/>
      <c r="M26" s="428"/>
    </row>
    <row r="27" spans="1:13" ht="25.5" customHeight="1">
      <c r="A27" s="111" t="s">
        <v>349</v>
      </c>
      <c r="B27" s="111"/>
      <c r="C27" s="111"/>
      <c r="D27" s="111"/>
      <c r="E27" s="111"/>
      <c r="F27" s="111"/>
      <c r="G27" s="111"/>
      <c r="H27" s="111"/>
      <c r="I27" s="111"/>
      <c r="J27" s="111"/>
      <c r="K27" s="111"/>
      <c r="L27" s="112"/>
      <c r="M27" s="112"/>
    </row>
    <row r="28" spans="1:13" ht="28.5" customHeight="1">
      <c r="A28" s="470" t="s">
        <v>221</v>
      </c>
      <c r="B28" s="477" t="s">
        <v>346</v>
      </c>
      <c r="C28" s="478"/>
      <c r="D28" s="478"/>
      <c r="E28" s="479"/>
      <c r="F28" s="470" t="s">
        <v>345</v>
      </c>
      <c r="G28" s="470" t="s">
        <v>6</v>
      </c>
      <c r="H28" s="470" t="s">
        <v>364</v>
      </c>
      <c r="I28" s="470" t="s">
        <v>343</v>
      </c>
      <c r="J28" s="470"/>
      <c r="K28" s="470" t="s">
        <v>342</v>
      </c>
      <c r="L28" s="470"/>
      <c r="M28" s="471" t="s">
        <v>245</v>
      </c>
    </row>
    <row r="29" spans="1:13" ht="84" customHeight="1">
      <c r="A29" s="470"/>
      <c r="B29" s="480"/>
      <c r="C29" s="481"/>
      <c r="D29" s="481"/>
      <c r="E29" s="482"/>
      <c r="F29" s="470"/>
      <c r="G29" s="470"/>
      <c r="H29" s="470"/>
      <c r="I29" s="113" t="s">
        <v>324</v>
      </c>
      <c r="J29" s="113" t="s">
        <v>341</v>
      </c>
      <c r="K29" s="113" t="s">
        <v>324</v>
      </c>
      <c r="L29" s="113" t="s">
        <v>341</v>
      </c>
      <c r="M29" s="472"/>
    </row>
    <row r="30" spans="1:13" ht="45.75" customHeight="1">
      <c r="A30" s="139">
        <f>IF(COUNTA($B$30:B30)&gt;TS_DiemBC,"Không có",(COUNTA($B$30:B30)))</f>
        <v>1</v>
      </c>
      <c r="B30" s="473" t="str">
        <f ca="1">"Đơn vị bầu cử số "&amp;ROW(1:1)&amp;", Gồm: "&amp;OFFSET(TTinDV!$C$5,MATCH(ROW(1:1),TTinDV!$A$6:$A$40,),)</f>
        <v>Đơn vị bầu cử số 1, Gồm: Thôn Hướng Choa</v>
      </c>
      <c r="C30" s="474"/>
      <c r="D30" s="474"/>
      <c r="E30" s="475"/>
      <c r="F30" s="140">
        <f>MauTH!D12</f>
        <v>0</v>
      </c>
      <c r="G30" s="140">
        <f>MauTH!E12</f>
        <v>0</v>
      </c>
      <c r="H30" s="141">
        <f>MauTH!F12</f>
        <v>0</v>
      </c>
      <c r="I30" s="140">
        <f>MauTH!J12</f>
        <v>0</v>
      </c>
      <c r="J30" s="142">
        <f>MauTH!R12</f>
        <v>0</v>
      </c>
      <c r="K30" s="140">
        <f>MauTH!P12</f>
        <v>0</v>
      </c>
      <c r="L30" s="142">
        <f>MauTH!S12</f>
        <v>0</v>
      </c>
      <c r="M30" s="115"/>
    </row>
    <row r="31" spans="1:13" ht="45.75" customHeight="1">
      <c r="A31" s="139">
        <f>IF(COUNTA($B$30:B31)&gt;TS_DiemBC,"Không có",(COUNTA($B$30:B31)))</f>
        <v>2</v>
      </c>
      <c r="B31" s="473" t="str">
        <f ca="1">"Đơn vị bầu cử số "&amp;ROW(2:2)&amp;", Gồm: "&amp;OFFSET(TTinDV!$C$5,MATCH(ROW(2:2),TTinDV!$A$6:$A$40,),)</f>
        <v>Đơn vị bầu cử số 2, Gồm: 1</v>
      </c>
      <c r="C31" s="474"/>
      <c r="D31" s="474"/>
      <c r="E31" s="475"/>
      <c r="F31" s="140">
        <f>MauTH!D13</f>
        <v>0</v>
      </c>
      <c r="G31" s="140">
        <f>MauTH!E13</f>
        <v>0</v>
      </c>
      <c r="H31" s="141">
        <f>MauTH!F13</f>
        <v>0</v>
      </c>
      <c r="I31" s="140">
        <f>MauTH!J13</f>
        <v>0</v>
      </c>
      <c r="J31" s="142">
        <f>MauTH!R13</f>
        <v>0</v>
      </c>
      <c r="K31" s="140">
        <f>MauTH!P13</f>
        <v>0</v>
      </c>
      <c r="L31" s="142">
        <f>MauTH!S13</f>
        <v>0</v>
      </c>
      <c r="M31" s="115"/>
    </row>
    <row r="32" spans="1:13" ht="45.75" customHeight="1">
      <c r="A32" s="139">
        <f>IF(COUNTA($B$30:B32)&gt;TS_DiemBC,"Không có",(COUNTA($B$30:B32)))</f>
        <v>3</v>
      </c>
      <c r="B32" s="473" t="str">
        <f ca="1">"Đơn vị bầu cử số "&amp;ROW(3:3)&amp;", Gồm: "&amp;OFFSET(TTinDV!$C$5,MATCH(ROW(3:3),TTinDV!$A$6:$A$40,),)</f>
        <v>Đơn vị bầu cử số 3, Gồm: Thôn Cợp</v>
      </c>
      <c r="C32" s="474"/>
      <c r="D32" s="474"/>
      <c r="E32" s="475"/>
      <c r="F32" s="140">
        <f>MauTH!D14</f>
        <v>0</v>
      </c>
      <c r="G32" s="140">
        <f>MauTH!E14</f>
        <v>0</v>
      </c>
      <c r="H32" s="141">
        <f>MauTH!F14</f>
        <v>0</v>
      </c>
      <c r="I32" s="140">
        <f>MauTH!J14</f>
        <v>0</v>
      </c>
      <c r="J32" s="142">
        <f>MauTH!R14</f>
        <v>0</v>
      </c>
      <c r="K32" s="140">
        <f>MauTH!P14</f>
        <v>0</v>
      </c>
      <c r="L32" s="142">
        <f>MauTH!S14</f>
        <v>0</v>
      </c>
      <c r="M32" s="115"/>
    </row>
    <row r="33" spans="1:13" ht="45.75" customHeight="1">
      <c r="A33" s="139">
        <f>IF(COUNTA($B$30:B33)&gt;TS_DiemBC,"Không có",(COUNTA($B$30:B33)))</f>
        <v>4</v>
      </c>
      <c r="B33" s="473" t="str">
        <f ca="1">"Đơn vị bầu cử số "&amp;ROW(4:4)&amp;", Gồm: "&amp;OFFSET(TTinDV!$C$5,MATCH(ROW(4:4),TTinDV!$A$6:$A$40,),)</f>
        <v>Đơn vị bầu cử số 4, Gồm: Thôn Cò Nhối</v>
      </c>
      <c r="C33" s="474"/>
      <c r="D33" s="474"/>
      <c r="E33" s="475"/>
      <c r="F33" s="140">
        <f>MauTH!D15</f>
        <v>0</v>
      </c>
      <c r="G33" s="140">
        <f>MauTH!E15</f>
        <v>0</v>
      </c>
      <c r="H33" s="141">
        <f>MauTH!F15</f>
        <v>0</v>
      </c>
      <c r="I33" s="140">
        <f>MauTH!J15</f>
        <v>0</v>
      </c>
      <c r="J33" s="142">
        <f>MauTH!R15</f>
        <v>0</v>
      </c>
      <c r="K33" s="140">
        <f>MauTH!P15</f>
        <v>0</v>
      </c>
      <c r="L33" s="142">
        <f>MauTH!S15</f>
        <v>0</v>
      </c>
      <c r="M33" s="115"/>
    </row>
    <row r="34" spans="1:13" ht="45.75" customHeight="1">
      <c r="A34" s="139">
        <f>IF(COUNTA($B$30:B34)&gt;TS_DiemBC,"Không có",(COUNTA($B$30:B34)))</f>
        <v>5</v>
      </c>
      <c r="B34" s="473" t="str">
        <f ca="1">"Đơn vị bầu cử số "&amp;ROW(5:5)&amp;", Gồm: "&amp;OFFSET(TTinDV!$C$5,MATCH(ROW(5:5),TTinDV!$A$6:$A$40,),)</f>
        <v>Đơn vị bầu cử số 5, Gồm: Thôn Xa Ry, Hướng Phú, Đồn Biên phòng sen bụt, Trường THPT Hướng Phùng, Hạt Quản lý đường bộ Hướng Phùng, Trạm y tế xã</v>
      </c>
      <c r="C34" s="474"/>
      <c r="D34" s="474"/>
      <c r="E34" s="475"/>
      <c r="F34" s="140">
        <f>MauTH!D16</f>
        <v>0</v>
      </c>
      <c r="G34" s="140">
        <f>MauTH!E16</f>
        <v>0</v>
      </c>
      <c r="H34" s="141">
        <f>MauTH!F16</f>
        <v>0</v>
      </c>
      <c r="I34" s="140">
        <f>MauTH!J16</f>
        <v>0</v>
      </c>
      <c r="J34" s="142">
        <f>MauTH!R16</f>
        <v>0</v>
      </c>
      <c r="K34" s="140">
        <f>MauTH!P16</f>
        <v>0</v>
      </c>
      <c r="L34" s="142">
        <f>MauTH!S16</f>
        <v>0</v>
      </c>
      <c r="M34" s="115"/>
    </row>
    <row r="35" spans="1:13" ht="45.75" customHeight="1">
      <c r="A35" s="139">
        <f>IF(COUNTA($B$30:B35)&gt;TS_DiemBC,"Không có",(COUNTA($B$30:B35)))</f>
        <v>6</v>
      </c>
      <c r="B35" s="473" t="str">
        <f ca="1">"Đơn vị bầu cử số "&amp;ROW(6:6)&amp;", Gồm: "&amp;OFFSET(TTinDV!$C$5,MATCH(ROW(6:6),TTinDV!$A$6:$A$40,),)</f>
        <v>Đơn vị bầu cử số 6, Gồm: Thôn Chênh vênh, Trạm Kiểm soát A Ròong</v>
      </c>
      <c r="C35" s="474"/>
      <c r="D35" s="474"/>
      <c r="E35" s="475"/>
      <c r="F35" s="140">
        <f>MauTH!D17</f>
        <v>0</v>
      </c>
      <c r="G35" s="140">
        <f>MauTH!E17</f>
        <v>0</v>
      </c>
      <c r="H35" s="141">
        <f>MauTH!F17</f>
        <v>0</v>
      </c>
      <c r="I35" s="140">
        <f>MauTH!J17</f>
        <v>0</v>
      </c>
      <c r="J35" s="142">
        <f>MauTH!R17</f>
        <v>0</v>
      </c>
      <c r="K35" s="140">
        <f>MauTH!P17</f>
        <v>0</v>
      </c>
      <c r="L35" s="142">
        <f>MauTH!S17</f>
        <v>0</v>
      </c>
      <c r="M35" s="115"/>
    </row>
    <row r="36" spans="1:13" ht="45.75" customHeight="1">
      <c r="A36" s="139">
        <f>IF(COUNTA($B$30:B36)&gt;TS_DiemBC,"Không có",(COUNTA($B$30:B36)))</f>
        <v>7</v>
      </c>
      <c r="B36" s="473" t="str">
        <f ca="1">"Đơn vị bầu cử số "&amp;ROW(7:7)&amp;", Gồm: "&amp;OFFSET(TTinDV!$C$5,MATCH(ROW(7:7),TTinDV!$A$6:$A$40,),)</f>
        <v>Đơn vị bầu cử số 7, Gồm: Thôn Doa Cũ, Bụt Việt, Trường PTDT BT THCS, Tiểu học, Mầm non Hướng Phùng</v>
      </c>
      <c r="C36" s="474"/>
      <c r="D36" s="474"/>
      <c r="E36" s="475"/>
      <c r="F36" s="140">
        <f>MauTH!D18</f>
        <v>0</v>
      </c>
      <c r="G36" s="140">
        <f>MauTH!E18</f>
        <v>0</v>
      </c>
      <c r="H36" s="141">
        <f>MauTH!F18</f>
        <v>0</v>
      </c>
      <c r="I36" s="140">
        <f>MauTH!J18</f>
        <v>0</v>
      </c>
      <c r="J36" s="142">
        <f>MauTH!R18</f>
        <v>0</v>
      </c>
      <c r="K36" s="140">
        <f>MauTH!P18</f>
        <v>0</v>
      </c>
      <c r="L36" s="142">
        <f>MauTH!S18</f>
        <v>0</v>
      </c>
      <c r="M36" s="115"/>
    </row>
    <row r="37" spans="1:13" ht="45.75" customHeight="1">
      <c r="A37" s="139">
        <f>IF(COUNTA($B$30:B37)&gt;TS_DiemBC,"Không có",(COUNTA($B$30:B37)))</f>
        <v>8</v>
      </c>
      <c r="B37" s="473" t="str">
        <f ca="1">"Đơn vị bầu cử số "&amp;ROW(8:8)&amp;", Gồm: "&amp;OFFSET(TTinDV!$C$5,MATCH(ROW(8:8),TTinDV!$A$6:$A$40,),)</f>
        <v>Đơn vị bầu cử số 8, Gồm: Thôn Hướng Đại, Hướng Độ, Cheng, Trạm Kiểm soát Cheng</v>
      </c>
      <c r="C37" s="474"/>
      <c r="D37" s="474"/>
      <c r="E37" s="475"/>
      <c r="F37" s="140">
        <f>MauTH!D19</f>
        <v>0</v>
      </c>
      <c r="G37" s="140">
        <f>MauTH!E19</f>
        <v>0</v>
      </c>
      <c r="H37" s="141">
        <f>MauTH!F19</f>
        <v>0</v>
      </c>
      <c r="I37" s="140">
        <f>MauTH!J19</f>
        <v>0</v>
      </c>
      <c r="J37" s="142">
        <f>MauTH!R19</f>
        <v>0</v>
      </c>
      <c r="K37" s="140">
        <f>MauTH!P19</f>
        <v>0</v>
      </c>
      <c r="L37" s="142">
        <f>MauTH!S19</f>
        <v>0</v>
      </c>
      <c r="M37" s="115"/>
    </row>
    <row r="38" spans="1:13" ht="45.75" customHeight="1">
      <c r="A38" s="139">
        <f>IF(COUNTA($B$30:B38)&gt;TS_DiemBC,"Không có",(COUNTA($B$30:B38)))</f>
        <v>9</v>
      </c>
      <c r="B38" s="473" t="str">
        <f ca="1">"Đơn vị bầu cử số "&amp;ROW(9:9)&amp;", Gồm: "&amp;OFFSET(TTinDV!$C$5,MATCH(ROW(9:9),TTinDV!$A$6:$A$40,),)</f>
        <v>Đơn vị bầu cử số 9, Gồm: Thôn Tân Pun, Ma Lai, Hướng Hải</v>
      </c>
      <c r="C38" s="474"/>
      <c r="D38" s="474"/>
      <c r="E38" s="475"/>
      <c r="F38" s="140">
        <f>MauTH!D20</f>
        <v>0</v>
      </c>
      <c r="G38" s="140">
        <f>MauTH!E20</f>
        <v>0</v>
      </c>
      <c r="H38" s="141">
        <f>MauTH!F20</f>
        <v>0</v>
      </c>
      <c r="I38" s="140">
        <f>MauTH!J20</f>
        <v>0</v>
      </c>
      <c r="J38" s="142">
        <f>MauTH!R20</f>
        <v>0</v>
      </c>
      <c r="K38" s="140">
        <f>MauTH!P20</f>
        <v>0</v>
      </c>
      <c r="L38" s="142">
        <f>MauTH!S20</f>
        <v>0</v>
      </c>
      <c r="M38" s="115"/>
    </row>
    <row r="39" spans="1:13" ht="24.75" customHeight="1">
      <c r="A39" s="488" t="s">
        <v>348</v>
      </c>
      <c r="B39" s="489"/>
      <c r="C39" s="489"/>
      <c r="D39" s="489"/>
      <c r="E39" s="490"/>
      <c r="F39" s="143">
        <f>SUM(F30:F38)</f>
        <v>0</v>
      </c>
      <c r="G39" s="143">
        <f>SUM(G30:G38)</f>
        <v>0</v>
      </c>
      <c r="H39" s="144" t="e">
        <f>G39/F39*100</f>
        <v>#DIV/0!</v>
      </c>
      <c r="I39" s="143">
        <f>SUM(I30:I38)</f>
        <v>0</v>
      </c>
      <c r="J39" s="145" t="e">
        <f>I39/(K39+I39)*100</f>
        <v>#DIV/0!</v>
      </c>
      <c r="K39" s="143">
        <f>SUM(K30:K38)</f>
        <v>0</v>
      </c>
      <c r="L39" s="145" t="e">
        <f>K39/(K39+I39)*100</f>
        <v>#DIV/0!</v>
      </c>
      <c r="M39" s="115"/>
    </row>
    <row r="40" spans="1:13" ht="42" customHeight="1">
      <c r="A40" s="476" t="s">
        <v>347</v>
      </c>
      <c r="B40" s="476"/>
      <c r="C40" s="476"/>
      <c r="D40" s="476"/>
      <c r="E40" s="476"/>
      <c r="F40" s="476"/>
      <c r="G40" s="476"/>
      <c r="H40" s="476"/>
      <c r="I40" s="476"/>
      <c r="J40" s="476"/>
      <c r="K40" s="476"/>
      <c r="L40" s="476"/>
      <c r="M40" s="476"/>
    </row>
    <row r="41" spans="1:13" ht="21" customHeight="1">
      <c r="A41" s="416" t="s">
        <v>318</v>
      </c>
      <c r="B41" s="416"/>
      <c r="C41" s="416"/>
      <c r="D41" s="416"/>
      <c r="E41" s="416"/>
      <c r="F41" s="416"/>
      <c r="G41" s="416"/>
      <c r="H41" s="416"/>
      <c r="I41" s="416"/>
      <c r="J41" s="416"/>
      <c r="K41" s="416"/>
      <c r="L41" s="416"/>
      <c r="M41" s="416"/>
    </row>
    <row r="42" spans="1:13" ht="21" customHeight="1">
      <c r="A42" s="92" t="s">
        <v>365</v>
      </c>
      <c r="B42" s="116"/>
      <c r="C42" s="116"/>
      <c r="D42" s="116"/>
      <c r="E42" s="116"/>
      <c r="F42" s="116"/>
      <c r="G42" s="116"/>
      <c r="H42" s="116"/>
      <c r="I42" s="116"/>
      <c r="J42" s="116"/>
      <c r="K42" s="116"/>
      <c r="L42" s="116"/>
      <c r="M42" s="116"/>
    </row>
    <row r="43" spans="1:13" ht="28.5" customHeight="1">
      <c r="A43" s="470" t="s">
        <v>221</v>
      </c>
      <c r="B43" s="477" t="s">
        <v>346</v>
      </c>
      <c r="C43" s="478"/>
      <c r="D43" s="478"/>
      <c r="E43" s="479"/>
      <c r="F43" s="470" t="s">
        <v>345</v>
      </c>
      <c r="G43" s="470" t="s">
        <v>6</v>
      </c>
      <c r="H43" s="470" t="s">
        <v>344</v>
      </c>
      <c r="I43" s="470" t="s">
        <v>343</v>
      </c>
      <c r="J43" s="470"/>
      <c r="K43" s="470" t="s">
        <v>342</v>
      </c>
      <c r="L43" s="470"/>
      <c r="M43" s="471" t="s">
        <v>245</v>
      </c>
    </row>
    <row r="44" spans="1:13" ht="86.25" customHeight="1">
      <c r="A44" s="470"/>
      <c r="B44" s="480"/>
      <c r="C44" s="481"/>
      <c r="D44" s="481"/>
      <c r="E44" s="482"/>
      <c r="F44" s="470"/>
      <c r="G44" s="470"/>
      <c r="H44" s="470"/>
      <c r="I44" s="113" t="s">
        <v>324</v>
      </c>
      <c r="J44" s="113" t="s">
        <v>341</v>
      </c>
      <c r="K44" s="113" t="s">
        <v>324</v>
      </c>
      <c r="L44" s="113" t="s">
        <v>341</v>
      </c>
      <c r="M44" s="472"/>
    </row>
    <row r="45" spans="1:13" ht="45.75" customHeight="1">
      <c r="A45" s="114" t="str">
        <f>1&amp;"."</f>
        <v>1.</v>
      </c>
      <c r="B45" s="467" t="s">
        <v>340</v>
      </c>
      <c r="C45" s="468"/>
      <c r="D45" s="468"/>
      <c r="E45" s="469"/>
      <c r="F45" s="117"/>
      <c r="G45" s="117"/>
      <c r="H45" s="118"/>
      <c r="I45" s="117"/>
      <c r="J45" s="118"/>
      <c r="K45" s="117"/>
      <c r="L45" s="118"/>
      <c r="M45" s="119"/>
    </row>
    <row r="46" spans="1:13" ht="46.5" customHeight="1">
      <c r="A46" s="114" t="str">
        <f>LEFT(A45,1)+1&amp;"."</f>
        <v>2.</v>
      </c>
      <c r="B46" s="467" t="s">
        <v>340</v>
      </c>
      <c r="C46" s="468"/>
      <c r="D46" s="468"/>
      <c r="E46" s="469"/>
      <c r="F46" s="117"/>
      <c r="G46" s="117"/>
      <c r="H46" s="118"/>
      <c r="I46" s="117"/>
      <c r="J46" s="118"/>
      <c r="K46" s="117"/>
      <c r="L46" s="118"/>
      <c r="M46" s="119"/>
    </row>
    <row r="47" spans="1:13" s="121" customFormat="1" ht="27" customHeight="1">
      <c r="A47" s="120" t="s">
        <v>339</v>
      </c>
      <c r="B47" s="120"/>
      <c r="C47" s="120"/>
      <c r="D47" s="120"/>
      <c r="E47" s="120"/>
      <c r="F47" s="120"/>
      <c r="G47" s="120"/>
      <c r="H47" s="120"/>
      <c r="I47" s="120"/>
      <c r="J47" s="120"/>
      <c r="K47" s="120"/>
      <c r="L47" s="120"/>
      <c r="M47" s="120"/>
    </row>
    <row r="48" spans="1:13" ht="48.75" customHeight="1">
      <c r="A48" s="451" t="s">
        <v>326</v>
      </c>
      <c r="B48" s="452"/>
      <c r="C48" s="452"/>
      <c r="D48" s="452"/>
      <c r="E48" s="453"/>
      <c r="F48" s="451" t="s">
        <v>325</v>
      </c>
      <c r="G48" s="452"/>
      <c r="H48" s="453"/>
      <c r="I48" s="451" t="s">
        <v>324</v>
      </c>
      <c r="J48" s="453"/>
      <c r="K48" s="451" t="s">
        <v>323</v>
      </c>
      <c r="L48" s="453"/>
      <c r="M48" s="113" t="s">
        <v>245</v>
      </c>
    </row>
    <row r="49" spans="1:14" ht="18.75" customHeight="1">
      <c r="A49" s="454" t="s">
        <v>337</v>
      </c>
      <c r="B49" s="455"/>
      <c r="C49" s="455"/>
      <c r="D49" s="455"/>
      <c r="E49" s="456"/>
      <c r="F49" s="462" t="str">
        <f ca="1">IF(COUNTIF($N$49:N49,N49)&gt;VLOOKUP(N49,TTinDV!$A$6:$E$14,5,),"",OFFSET(DSUCV!$B$3,MATCH(Mau27!N49,DSUCV!$C$4:$C$61,)+COUNTIF($N$49:N49,N49)-1,))</f>
        <v>Hoang BooKi</v>
      </c>
      <c r="G49" s="463"/>
      <c r="H49" s="464"/>
      <c r="I49" s="449">
        <f ca="1">OFFSET(DSUCV!$Y$3,MATCH(Mau27!F49,DSUCV!$B$4:$B$61,),)</f>
        <v>0.00042496</v>
      </c>
      <c r="J49" s="450"/>
      <c r="K49" s="442" t="e">
        <f ca="1">OFFSET(DSUCV!$Y$3,MATCH(Mau27!F49,DSUCV!$B$4:$B$61,),1)</f>
        <v>#DIV/0!</v>
      </c>
      <c r="L49" s="443"/>
      <c r="M49" s="122"/>
      <c r="N49" s="93">
        <v>1</v>
      </c>
    </row>
    <row r="50" spans="1:14" ht="18.75" customHeight="1">
      <c r="A50" s="439" t="s">
        <v>321</v>
      </c>
      <c r="B50" s="440"/>
      <c r="C50" s="440"/>
      <c r="D50" s="440"/>
      <c r="E50" s="441"/>
      <c r="F50" s="462" t="str">
        <f ca="1">IF(COUNTIF($N$49:N50,N50)&gt;VLOOKUP(N50,TTinDV!$A$6:$E$14,5,),"",OFFSET(DSUCV!$B$3,MATCH(Mau27!N50,DSUCV!$C$4:$C$61,)+COUNTIF($N$49:N50,N50)-1,))</f>
        <v>Trấn B</v>
      </c>
      <c r="G50" s="463"/>
      <c r="H50" s="464"/>
      <c r="I50" s="449">
        <f ca="1">OFFSET(DSUCV!$Y$3,MATCH(Mau27!F50,DSUCV!$B$4:$B$61,),)</f>
        <v>0.00042496</v>
      </c>
      <c r="J50" s="450"/>
      <c r="K50" s="442" t="e">
        <f ca="1">OFFSET(DSUCV!$Y$3,MATCH(Mau27!F50,DSUCV!$B$4:$B$61,),1)</f>
        <v>#DIV/0!</v>
      </c>
      <c r="L50" s="443"/>
      <c r="M50" s="123"/>
      <c r="N50" s="93">
        <v>1</v>
      </c>
    </row>
    <row r="51" spans="1:14" ht="18.75" customHeight="1">
      <c r="A51" s="439"/>
      <c r="B51" s="440"/>
      <c r="C51" s="440"/>
      <c r="D51" s="440"/>
      <c r="E51" s="441"/>
      <c r="F51" s="462" t="str">
        <f ca="1">IF(COUNTIF($N$49:N51,N51)&gt;VLOOKUP(N51,TTinDV!$A$6:$E$14,5,),"",OFFSET(DSUCV!$B$3,MATCH(Mau27!N51,DSUCV!$C$4:$C$61,)+COUNTIF($N$49:N51,N51)-1,))</f>
        <v>Hồ C</v>
      </c>
      <c r="G51" s="463"/>
      <c r="H51" s="464"/>
      <c r="I51" s="449">
        <f ca="1">OFFSET(DSUCV!$Y$3,MATCH(Mau27!F51,DSUCV!$B$4:$B$61,),)</f>
        <v>0.00042496</v>
      </c>
      <c r="J51" s="450"/>
      <c r="K51" s="442" t="e">
        <f ca="1">OFFSET(DSUCV!$Y$3,MATCH(Mau27!F51,DSUCV!$B$4:$B$61,),1)</f>
        <v>#DIV/0!</v>
      </c>
      <c r="L51" s="443"/>
      <c r="M51" s="123"/>
      <c r="N51" s="93">
        <v>1</v>
      </c>
    </row>
    <row r="52" spans="1:14" ht="18.75" customHeight="1">
      <c r="A52" s="439"/>
      <c r="B52" s="440"/>
      <c r="C52" s="440"/>
      <c r="D52" s="440"/>
      <c r="E52" s="441"/>
      <c r="F52" s="462">
        <f ca="1">IF(COUNTIF($N$49:N52,N52)&gt;VLOOKUP(N52,TTinDV!$A$6:$E$14,5,),"",OFFSET(DSUCV!$B$3,MATCH(Mau27!N52,DSUCV!$C$4:$C$61,)+COUNTIF($N$49:N52,N52)-1,))</f>
      </c>
      <c r="G52" s="463"/>
      <c r="H52" s="464"/>
      <c r="I52" s="449" t="e">
        <f ca="1">OFFSET(DSUCV!$Y$3,MATCH(Mau27!F52,DSUCV!$B$4:$B$61,),)</f>
        <v>#N/A</v>
      </c>
      <c r="J52" s="450"/>
      <c r="K52" s="442" t="e">
        <f ca="1">OFFSET(DSUCV!$Y$3,MATCH(Mau27!F52,DSUCV!$B$4:$B$61,),1)</f>
        <v>#N/A</v>
      </c>
      <c r="L52" s="443"/>
      <c r="M52" s="123"/>
      <c r="N52" s="93">
        <v>1</v>
      </c>
    </row>
    <row r="53" spans="1:14" ht="18.75" customHeight="1">
      <c r="A53" s="439"/>
      <c r="B53" s="440"/>
      <c r="C53" s="440"/>
      <c r="D53" s="440"/>
      <c r="E53" s="441"/>
      <c r="F53" s="462">
        <f ca="1">IF(COUNTIF($N$49:N53,N53)&gt;VLOOKUP(N53,TTinDV!$A$6:$E$14,5,),"",OFFSET(DSUCV!$B$3,MATCH(Mau27!N53,DSUCV!$C$4:$C$61,)+COUNTIF($N$49:N53,N53)-1,))</f>
      </c>
      <c r="G53" s="463"/>
      <c r="H53" s="464"/>
      <c r="I53" s="449" t="e">
        <f ca="1">OFFSET(DSUCV!$Y$3,MATCH(Mau27!F53,DSUCV!$B$4:$B$61,),)</f>
        <v>#N/A</v>
      </c>
      <c r="J53" s="450"/>
      <c r="K53" s="442" t="e">
        <f ca="1">OFFSET(DSUCV!$Y$3,MATCH(Mau27!F53,DSUCV!$B$4:$B$61,),1)</f>
        <v>#N/A</v>
      </c>
      <c r="L53" s="443"/>
      <c r="M53" s="123"/>
      <c r="N53" s="93">
        <v>1</v>
      </c>
    </row>
    <row r="54" spans="1:14" ht="18.75" customHeight="1">
      <c r="A54" s="439"/>
      <c r="B54" s="440"/>
      <c r="C54" s="440"/>
      <c r="D54" s="440"/>
      <c r="E54" s="441"/>
      <c r="F54" s="462">
        <f ca="1">IF(COUNTIF($N$49:N54,N54)&gt;VLOOKUP(N54,TTinDV!$A$6:$E$14,5,),"",OFFSET(DSUCV!$B$3,MATCH(Mau27!N54,DSUCV!$C$4:$C$61,)+COUNTIF($N$49:N54,N54)-1,))</f>
      </c>
      <c r="G54" s="463"/>
      <c r="H54" s="464"/>
      <c r="I54" s="449" t="e">
        <f ca="1">OFFSET(DSUCV!$Y$3,MATCH(Mau27!F54,DSUCV!$B$4:$B$61,),)</f>
        <v>#N/A</v>
      </c>
      <c r="J54" s="450"/>
      <c r="K54" s="442" t="e">
        <f ca="1">OFFSET(DSUCV!$Y$3,MATCH(Mau27!F54,DSUCV!$B$4:$B$61,),1)</f>
        <v>#N/A</v>
      </c>
      <c r="L54" s="443"/>
      <c r="M54" s="123"/>
      <c r="N54" s="93">
        <v>1</v>
      </c>
    </row>
    <row r="55" spans="1:14" ht="18.75" customHeight="1">
      <c r="A55" s="439"/>
      <c r="B55" s="440"/>
      <c r="C55" s="440"/>
      <c r="D55" s="440"/>
      <c r="E55" s="441"/>
      <c r="F55" s="462">
        <f ca="1">IF(COUNTIF($N$49:N55,N55)&gt;VLOOKUP(N55,TTinDV!$A$6:$E$14,5,),"",OFFSET(DSUCV!$B$3,MATCH(Mau27!N55,DSUCV!$C$4:$C$61,)+COUNTIF($N$49:N55,N55)-1,))</f>
      </c>
      <c r="G55" s="463"/>
      <c r="H55" s="464"/>
      <c r="I55" s="449" t="e">
        <f ca="1">OFFSET(DSUCV!$Y$3,MATCH(Mau27!F55,DSUCV!$B$4:$B$61,),)</f>
        <v>#N/A</v>
      </c>
      <c r="J55" s="450"/>
      <c r="K55" s="442" t="e">
        <f ca="1">OFFSET(DSUCV!$Y$3,MATCH(Mau27!F55,DSUCV!$B$4:$B$61,),1)</f>
        <v>#N/A</v>
      </c>
      <c r="L55" s="443"/>
      <c r="M55" s="123"/>
      <c r="N55" s="93">
        <v>1</v>
      </c>
    </row>
    <row r="56" spans="1:14" ht="18.75" customHeight="1">
      <c r="A56" s="439"/>
      <c r="B56" s="440"/>
      <c r="C56" s="440"/>
      <c r="D56" s="440"/>
      <c r="E56" s="441"/>
      <c r="F56" s="462">
        <f ca="1">IF(COUNTIF($N$49:N56,N56)&gt;VLOOKUP(N56,TTinDV!$A$6:$E$14,5,),"",OFFSET(DSUCV!$B$3,MATCH(Mau27!N56,DSUCV!$C$4:$C$61,)+COUNTIF($N$49:N56,N56)-1,))</f>
      </c>
      <c r="G56" s="463"/>
      <c r="H56" s="464"/>
      <c r="I56" s="449" t="e">
        <f ca="1">OFFSET(DSUCV!$Y$3,MATCH(Mau27!F56,DSUCV!$B$4:$B$61,),)</f>
        <v>#N/A</v>
      </c>
      <c r="J56" s="450"/>
      <c r="K56" s="442" t="e">
        <f ca="1">OFFSET(DSUCV!$Y$3,MATCH(Mau27!F56,DSUCV!$B$4:$B$61,),1)</f>
        <v>#N/A</v>
      </c>
      <c r="L56" s="443"/>
      <c r="M56" s="124"/>
      <c r="N56" s="93">
        <v>1</v>
      </c>
    </row>
    <row r="57" spans="1:14" ht="18.75" customHeight="1">
      <c r="A57" s="454" t="s">
        <v>336</v>
      </c>
      <c r="B57" s="455"/>
      <c r="C57" s="455"/>
      <c r="D57" s="455"/>
      <c r="E57" s="456"/>
      <c r="F57" s="462" t="str">
        <f ca="1">IF(COUNTIF($N$49:N57,N57)&gt;VLOOKUP(N57,TTinDV!$A$6:$E$14,5,),"",OFFSET(DSUCV!$B$3,MATCH(Mau27!N57,DSUCV!$C$4:$C$61,)+COUNTIF($N$49:N57,N57)-1,))</f>
        <v>UV A1</v>
      </c>
      <c r="G57" s="463"/>
      <c r="H57" s="464"/>
      <c r="I57" s="449">
        <f ca="1">OFFSET(DSUCV!$Y$3,MATCH(Mau27!F57,DSUCV!$B$4:$B$61,),)</f>
        <v>0.00042496</v>
      </c>
      <c r="J57" s="450"/>
      <c r="K57" s="442" t="e">
        <f ca="1">OFFSET(DSUCV!$Y$3,MATCH(Mau27!F57,DSUCV!$B$4:$B$61,),1)</f>
        <v>#DIV/0!</v>
      </c>
      <c r="L57" s="443"/>
      <c r="M57" s="125"/>
      <c r="N57" s="93">
        <v>2</v>
      </c>
    </row>
    <row r="58" spans="1:14" ht="18.75" customHeight="1">
      <c r="A58" s="439" t="s">
        <v>321</v>
      </c>
      <c r="B58" s="440"/>
      <c r="C58" s="440"/>
      <c r="D58" s="440"/>
      <c r="E58" s="441"/>
      <c r="F58" s="462" t="str">
        <f ca="1">IF(COUNTIF($N$49:N58,N58)&gt;VLOOKUP(N58,TTinDV!$A$6:$E$14,5,),"",OFFSET(DSUCV!$B$3,MATCH(Mau27!N58,DSUCV!$C$4:$C$61,)+COUNTIF($N$49:N58,N58)-1,))</f>
        <v>UV A2</v>
      </c>
      <c r="G58" s="463"/>
      <c r="H58" s="464"/>
      <c r="I58" s="449">
        <f ca="1">OFFSET(DSUCV!$Y$3,MATCH(Mau27!F58,DSUCV!$B$4:$B$61,),)</f>
        <v>0.00042496</v>
      </c>
      <c r="J58" s="450"/>
      <c r="K58" s="442" t="e">
        <f ca="1">OFFSET(DSUCV!$Y$3,MATCH(Mau27!F58,DSUCV!$B$4:$B$61,),1)</f>
        <v>#DIV/0!</v>
      </c>
      <c r="L58" s="443"/>
      <c r="M58" s="123"/>
      <c r="N58" s="93">
        <v>2</v>
      </c>
    </row>
    <row r="59" spans="1:14" ht="18.75" customHeight="1">
      <c r="A59" s="439"/>
      <c r="B59" s="440"/>
      <c r="C59" s="440"/>
      <c r="D59" s="440"/>
      <c r="E59" s="441"/>
      <c r="F59" s="462" t="str">
        <f ca="1">IF(COUNTIF($N$49:N59,N59)&gt;VLOOKUP(N59,TTinDV!$A$6:$E$14,5,),"",OFFSET(DSUCV!$B$3,MATCH(Mau27!N59,DSUCV!$C$4:$C$61,)+COUNTIF($N$49:N59,N59)-1,))</f>
        <v>UV A3</v>
      </c>
      <c r="G59" s="463"/>
      <c r="H59" s="464"/>
      <c r="I59" s="449">
        <f ca="1">OFFSET(DSUCV!$Y$3,MATCH(Mau27!F59,DSUCV!$B$4:$B$61,),)</f>
        <v>0.00042496</v>
      </c>
      <c r="J59" s="450"/>
      <c r="K59" s="442" t="e">
        <f ca="1">OFFSET(DSUCV!$Y$3,MATCH(Mau27!F59,DSUCV!$B$4:$B$61,),1)</f>
        <v>#DIV/0!</v>
      </c>
      <c r="L59" s="443"/>
      <c r="M59" s="123"/>
      <c r="N59" s="93">
        <v>2</v>
      </c>
    </row>
    <row r="60" spans="1:14" ht="18.75" customHeight="1">
      <c r="A60" s="439"/>
      <c r="B60" s="440"/>
      <c r="C60" s="440"/>
      <c r="D60" s="440"/>
      <c r="E60" s="441"/>
      <c r="F60" s="462" t="str">
        <f ca="1">IF(COUNTIF($N$49:N60,N60)&gt;VLOOKUP(N60,TTinDV!$A$6:$E$14,5,),"",OFFSET(DSUCV!$B$3,MATCH(Mau27!N60,DSUCV!$C$4:$C$61,)+COUNTIF($N$49:N60,N60)-1,))</f>
        <v>UV A4</v>
      </c>
      <c r="G60" s="463"/>
      <c r="H60" s="464"/>
      <c r="I60" s="449">
        <f ca="1">OFFSET(DSUCV!$Y$3,MATCH(Mau27!F60,DSUCV!$B$4:$B$61,),)</f>
        <v>0.00042496</v>
      </c>
      <c r="J60" s="450"/>
      <c r="K60" s="442" t="e">
        <f ca="1">OFFSET(DSUCV!$Y$3,MATCH(Mau27!F60,DSUCV!$B$4:$B$61,),1)</f>
        <v>#DIV/0!</v>
      </c>
      <c r="L60" s="443"/>
      <c r="M60" s="123"/>
      <c r="N60" s="93">
        <v>2</v>
      </c>
    </row>
    <row r="61" spans="1:14" ht="18.75" customHeight="1">
      <c r="A61" s="439"/>
      <c r="B61" s="440"/>
      <c r="C61" s="440"/>
      <c r="D61" s="440"/>
      <c r="E61" s="441"/>
      <c r="F61" s="462" t="str">
        <f ca="1">IF(COUNTIF($N$49:N61,N61)&gt;VLOOKUP(N61,TTinDV!$A$6:$E$14,5,),"",OFFSET(DSUCV!$B$3,MATCH(Mau27!N61,DSUCV!$C$4:$C$61,)+COUNTIF($N$49:N61,N61)-1,))</f>
        <v>UV A5</v>
      </c>
      <c r="G61" s="463"/>
      <c r="H61" s="464"/>
      <c r="I61" s="449">
        <f ca="1">OFFSET(DSUCV!$Y$3,MATCH(Mau27!F61,DSUCV!$B$4:$B$61,),)</f>
        <v>0.00042496</v>
      </c>
      <c r="J61" s="450"/>
      <c r="K61" s="442" t="e">
        <f ca="1">OFFSET(DSUCV!$Y$3,MATCH(Mau27!F61,DSUCV!$B$4:$B$61,),1)</f>
        <v>#DIV/0!</v>
      </c>
      <c r="L61" s="443"/>
      <c r="M61" s="123"/>
      <c r="N61" s="93">
        <v>2</v>
      </c>
    </row>
    <row r="62" spans="1:14" ht="18.75" customHeight="1">
      <c r="A62" s="439"/>
      <c r="B62" s="440"/>
      <c r="C62" s="440"/>
      <c r="D62" s="440"/>
      <c r="E62" s="441"/>
      <c r="F62" s="462">
        <f ca="1">IF(COUNTIF($N$49:N62,N62)&gt;VLOOKUP(N62,TTinDV!$A$6:$E$14,5,),"",OFFSET(DSUCV!$B$3,MATCH(Mau27!N62,DSUCV!$C$4:$C$61,)+COUNTIF($N$49:N62,N62)-1,))</f>
      </c>
      <c r="G62" s="463"/>
      <c r="H62" s="464"/>
      <c r="I62" s="449" t="e">
        <f ca="1">OFFSET(DSUCV!$Y$3,MATCH(Mau27!F62,DSUCV!$B$4:$B$61,),)</f>
        <v>#N/A</v>
      </c>
      <c r="J62" s="450"/>
      <c r="K62" s="442" t="e">
        <f ca="1">OFFSET(DSUCV!$Y$3,MATCH(Mau27!F62,DSUCV!$B$4:$B$61,),1)</f>
        <v>#N/A</v>
      </c>
      <c r="L62" s="443"/>
      <c r="M62" s="123"/>
      <c r="N62" s="93">
        <v>2</v>
      </c>
    </row>
    <row r="63" spans="1:14" ht="18.75" customHeight="1">
      <c r="A63" s="439"/>
      <c r="B63" s="440"/>
      <c r="C63" s="440"/>
      <c r="D63" s="440"/>
      <c r="E63" s="441"/>
      <c r="F63" s="462">
        <f ca="1">IF(COUNTIF($N$49:N63,N63)&gt;VLOOKUP(N63,TTinDV!$A$6:$E$14,5,),"",OFFSET(DSUCV!$B$3,MATCH(Mau27!N63,DSUCV!$C$4:$C$61,)+COUNTIF($N$49:N63,N63)-1,))</f>
      </c>
      <c r="G63" s="463"/>
      <c r="H63" s="464"/>
      <c r="I63" s="449" t="e">
        <f ca="1">OFFSET(DSUCV!$Y$3,MATCH(Mau27!F63,DSUCV!$B$4:$B$61,),)</f>
        <v>#N/A</v>
      </c>
      <c r="J63" s="450"/>
      <c r="K63" s="442" t="e">
        <f ca="1">OFFSET(DSUCV!$Y$3,MATCH(Mau27!F63,DSUCV!$B$4:$B$61,),1)</f>
        <v>#N/A</v>
      </c>
      <c r="L63" s="443"/>
      <c r="M63" s="123"/>
      <c r="N63" s="93">
        <v>2</v>
      </c>
    </row>
    <row r="64" spans="1:14" ht="18.75" customHeight="1">
      <c r="A64" s="417"/>
      <c r="B64" s="418"/>
      <c r="C64" s="418"/>
      <c r="D64" s="418"/>
      <c r="E64" s="419"/>
      <c r="F64" s="462">
        <f ca="1">IF(COUNTIF($N$49:N64,N64)&gt;VLOOKUP(N64,TTinDV!$A$6:$E$14,5,),"",OFFSET(DSUCV!$B$3,MATCH(Mau27!N64,DSUCV!$C$4:$C$61,)+COUNTIF($N$49:N64,N64)-1,))</f>
      </c>
      <c r="G64" s="463"/>
      <c r="H64" s="464"/>
      <c r="I64" s="449" t="e">
        <f ca="1">OFFSET(DSUCV!$Y$3,MATCH(Mau27!F64,DSUCV!$B$4:$B$61,),)</f>
        <v>#N/A</v>
      </c>
      <c r="J64" s="450"/>
      <c r="K64" s="442" t="e">
        <f ca="1">OFFSET(DSUCV!$Y$3,MATCH(Mau27!F64,DSUCV!$B$4:$B$61,),1)</f>
        <v>#N/A</v>
      </c>
      <c r="L64" s="443"/>
      <c r="M64" s="123"/>
      <c r="N64" s="93">
        <v>2</v>
      </c>
    </row>
    <row r="65" spans="1:14" ht="18.75" customHeight="1">
      <c r="A65" s="454" t="s">
        <v>335</v>
      </c>
      <c r="B65" s="455"/>
      <c r="C65" s="455"/>
      <c r="D65" s="455"/>
      <c r="E65" s="456"/>
      <c r="F65" s="462" t="str">
        <f ca="1">IF(COUNTIF($N$49:N65,N65)&gt;VLOOKUP(N65,TTinDV!$A$6:$E$14,5,),"",OFFSET(DSUCV!$B$3,MATCH(Mau27!N65,DSUCV!$C$4:$C$61,)+COUNTIF($N$49:N65,N65)-1,))</f>
        <v>UV A6</v>
      </c>
      <c r="G65" s="463"/>
      <c r="H65" s="464"/>
      <c r="I65" s="449">
        <f ca="1">OFFSET(DSUCV!$Y$3,MATCH(Mau27!F65,DSUCV!$B$4:$B$61,),)</f>
        <v>0.00042496</v>
      </c>
      <c r="J65" s="450"/>
      <c r="K65" s="442" t="e">
        <f ca="1">OFFSET(DSUCV!$Y$3,MATCH(Mau27!F65,DSUCV!$B$4:$B$61,),1)</f>
        <v>#DIV/0!</v>
      </c>
      <c r="L65" s="443"/>
      <c r="M65" s="125"/>
      <c r="N65" s="93">
        <v>3</v>
      </c>
    </row>
    <row r="66" spans="1:14" ht="18.75" customHeight="1">
      <c r="A66" s="439" t="s">
        <v>321</v>
      </c>
      <c r="B66" s="440"/>
      <c r="C66" s="440"/>
      <c r="D66" s="440"/>
      <c r="E66" s="441"/>
      <c r="F66" s="462" t="str">
        <f ca="1">IF(COUNTIF($N$49:N66,N66)&gt;VLOOKUP(N66,TTinDV!$A$6:$E$14,5,),"",OFFSET(DSUCV!$B$3,MATCH(Mau27!N66,DSUCV!$C$4:$C$61,)+COUNTIF($N$49:N66,N66)-1,))</f>
        <v>UV A7</v>
      </c>
      <c r="G66" s="463"/>
      <c r="H66" s="464"/>
      <c r="I66" s="449">
        <f ca="1">OFFSET(DSUCV!$Y$3,MATCH(Mau27!F66,DSUCV!$B$4:$B$61,),)</f>
        <v>0.00042496</v>
      </c>
      <c r="J66" s="450"/>
      <c r="K66" s="442" t="e">
        <f ca="1">OFFSET(DSUCV!$Y$3,MATCH(Mau27!F66,DSUCV!$B$4:$B$61,),1)</f>
        <v>#DIV/0!</v>
      </c>
      <c r="L66" s="443"/>
      <c r="M66" s="123"/>
      <c r="N66" s="93">
        <v>3</v>
      </c>
    </row>
    <row r="67" spans="1:14" ht="18.75" customHeight="1">
      <c r="A67" s="439"/>
      <c r="B67" s="440"/>
      <c r="C67" s="440"/>
      <c r="D67" s="440"/>
      <c r="E67" s="441"/>
      <c r="F67" s="462" t="str">
        <f ca="1">IF(COUNTIF($N$49:N67,N67)&gt;VLOOKUP(N67,TTinDV!$A$6:$E$14,5,),"",OFFSET(DSUCV!$B$3,MATCH(Mau27!N67,DSUCV!$C$4:$C$61,)+COUNTIF($N$49:N67,N67)-1,))</f>
        <v>UV A8</v>
      </c>
      <c r="G67" s="463"/>
      <c r="H67" s="464"/>
      <c r="I67" s="449">
        <f ca="1">OFFSET(DSUCV!$Y$3,MATCH(Mau27!F67,DSUCV!$B$4:$B$61,),)</f>
        <v>0.00042496</v>
      </c>
      <c r="J67" s="450"/>
      <c r="K67" s="442" t="e">
        <f ca="1">OFFSET(DSUCV!$Y$3,MATCH(Mau27!F67,DSUCV!$B$4:$B$61,),1)</f>
        <v>#DIV/0!</v>
      </c>
      <c r="L67" s="443"/>
      <c r="M67" s="123"/>
      <c r="N67" s="93">
        <v>3</v>
      </c>
    </row>
    <row r="68" spans="1:14" ht="18.75" customHeight="1">
      <c r="A68" s="439"/>
      <c r="B68" s="440"/>
      <c r="C68" s="440"/>
      <c r="D68" s="440"/>
      <c r="E68" s="441"/>
      <c r="F68" s="462" t="str">
        <f ca="1">IF(COUNTIF($N$49:N68,N68)&gt;VLOOKUP(N68,TTinDV!$A$6:$E$14,5,),"",OFFSET(DSUCV!$B$3,MATCH(Mau27!N68,DSUCV!$C$4:$C$61,)+COUNTIF($N$49:N68,N68)-1,))</f>
        <v>UV A9</v>
      </c>
      <c r="G68" s="463"/>
      <c r="H68" s="464"/>
      <c r="I68" s="449">
        <f ca="1">OFFSET(DSUCV!$Y$3,MATCH(Mau27!F68,DSUCV!$B$4:$B$61,),)</f>
        <v>0.00042496</v>
      </c>
      <c r="J68" s="450"/>
      <c r="K68" s="442" t="e">
        <f ca="1">OFFSET(DSUCV!$Y$3,MATCH(Mau27!F68,DSUCV!$B$4:$B$61,),1)</f>
        <v>#DIV/0!</v>
      </c>
      <c r="L68" s="443"/>
      <c r="M68" s="123"/>
      <c r="N68" s="93">
        <v>3</v>
      </c>
    </row>
    <row r="69" spans="1:14" ht="18.75" customHeight="1">
      <c r="A69" s="439"/>
      <c r="B69" s="440"/>
      <c r="C69" s="440"/>
      <c r="D69" s="440"/>
      <c r="E69" s="441"/>
      <c r="F69" s="462" t="str">
        <f ca="1">IF(COUNTIF($N$49:N69,N69)&gt;VLOOKUP(N69,TTinDV!$A$6:$E$14,5,),"",OFFSET(DSUCV!$B$3,MATCH(Mau27!N69,DSUCV!$C$4:$C$61,)+COUNTIF($N$49:N69,N69)-1,))</f>
        <v>UV A10</v>
      </c>
      <c r="G69" s="463"/>
      <c r="H69" s="464"/>
      <c r="I69" s="449">
        <f ca="1">OFFSET(DSUCV!$Y$3,MATCH(Mau27!F69,DSUCV!$B$4:$B$61,),)</f>
        <v>0.00042496</v>
      </c>
      <c r="J69" s="450"/>
      <c r="K69" s="442" t="e">
        <f ca="1">OFFSET(DSUCV!$Y$3,MATCH(Mau27!F69,DSUCV!$B$4:$B$61,),1)</f>
        <v>#DIV/0!</v>
      </c>
      <c r="L69" s="443"/>
      <c r="M69" s="123"/>
      <c r="N69" s="93">
        <v>3</v>
      </c>
    </row>
    <row r="70" spans="1:14" ht="18.75" customHeight="1">
      <c r="A70" s="439"/>
      <c r="B70" s="440"/>
      <c r="C70" s="440"/>
      <c r="D70" s="440"/>
      <c r="E70" s="441"/>
      <c r="F70" s="462">
        <f ca="1">IF(COUNTIF($N$49:N70,N70)&gt;VLOOKUP(N70,TTinDV!$A$6:$E$14,5,),"",OFFSET(DSUCV!$B$3,MATCH(Mau27!N70,DSUCV!$C$4:$C$61,)+COUNTIF($N$49:N70,N70)-1,))</f>
      </c>
      <c r="G70" s="463"/>
      <c r="H70" s="464"/>
      <c r="I70" s="449" t="e">
        <f ca="1">OFFSET(DSUCV!$Y$3,MATCH(Mau27!F70,DSUCV!$B$4:$B$61,),)</f>
        <v>#N/A</v>
      </c>
      <c r="J70" s="450"/>
      <c r="K70" s="442" t="e">
        <f ca="1">OFFSET(DSUCV!$Y$3,MATCH(Mau27!F70,DSUCV!$B$4:$B$61,),1)</f>
        <v>#N/A</v>
      </c>
      <c r="L70" s="443"/>
      <c r="M70" s="123"/>
      <c r="N70" s="93">
        <v>3</v>
      </c>
    </row>
    <row r="71" spans="1:14" ht="18.75" customHeight="1">
      <c r="A71" s="439"/>
      <c r="B71" s="440"/>
      <c r="C71" s="440"/>
      <c r="D71" s="440"/>
      <c r="E71" s="441"/>
      <c r="F71" s="462">
        <f ca="1">IF(COUNTIF($N$49:N71,N71)&gt;VLOOKUP(N71,TTinDV!$A$6:$E$14,5,),"",OFFSET(DSUCV!$B$3,MATCH(Mau27!N71,DSUCV!$C$4:$C$61,)+COUNTIF($N$49:N71,N71)-1,))</f>
      </c>
      <c r="G71" s="463"/>
      <c r="H71" s="464"/>
      <c r="I71" s="449" t="e">
        <f ca="1">OFFSET(DSUCV!$Y$3,MATCH(Mau27!F71,DSUCV!$B$4:$B$61,),)</f>
        <v>#N/A</v>
      </c>
      <c r="J71" s="450"/>
      <c r="K71" s="442" t="e">
        <f ca="1">OFFSET(DSUCV!$Y$3,MATCH(Mau27!F71,DSUCV!$B$4:$B$61,),1)</f>
        <v>#N/A</v>
      </c>
      <c r="L71" s="443"/>
      <c r="M71" s="123"/>
      <c r="N71" s="93">
        <v>3</v>
      </c>
    </row>
    <row r="72" spans="1:14" ht="18.75" customHeight="1">
      <c r="A72" s="417"/>
      <c r="B72" s="418"/>
      <c r="C72" s="418"/>
      <c r="D72" s="418"/>
      <c r="E72" s="419"/>
      <c r="F72" s="462">
        <f ca="1">IF(COUNTIF($N$49:N72,N72)&gt;VLOOKUP(N72,TTinDV!$A$6:$E$14,5,),"",OFFSET(DSUCV!$B$3,MATCH(Mau27!N72,DSUCV!$C$4:$C$61,)+COUNTIF($N$49:N72,N72)-1,))</f>
      </c>
      <c r="G72" s="463"/>
      <c r="H72" s="464"/>
      <c r="I72" s="449" t="e">
        <f ca="1">OFFSET(DSUCV!$Y$3,MATCH(Mau27!F72,DSUCV!$B$4:$B$61,),)</f>
        <v>#N/A</v>
      </c>
      <c r="J72" s="450"/>
      <c r="K72" s="442" t="e">
        <f ca="1">OFFSET(DSUCV!$Y$3,MATCH(Mau27!F72,DSUCV!$B$4:$B$61,),1)</f>
        <v>#N/A</v>
      </c>
      <c r="L72" s="443"/>
      <c r="M72" s="123"/>
      <c r="N72" s="93">
        <v>3</v>
      </c>
    </row>
    <row r="73" spans="1:14" ht="18.75" customHeight="1">
      <c r="A73" s="454" t="s">
        <v>334</v>
      </c>
      <c r="B73" s="455"/>
      <c r="C73" s="455"/>
      <c r="D73" s="455"/>
      <c r="E73" s="456"/>
      <c r="F73" s="462" t="str">
        <f ca="1">IF(COUNTIF($N$49:N73,N73)&gt;VLOOKUP(N73,TTinDV!$A$6:$E$14,5,),"",OFFSET(DSUCV!$B$3,MATCH(Mau27!N73,DSUCV!$C$4:$C$61,)+COUNTIF($N$49:N73,N73)-1,))</f>
        <v>UV A11</v>
      </c>
      <c r="G73" s="463"/>
      <c r="H73" s="464"/>
      <c r="I73" s="449">
        <f ca="1">OFFSET(DSUCV!$Y$3,MATCH(Mau27!F73,DSUCV!$B$4:$B$61,),)</f>
        <v>0.00042496</v>
      </c>
      <c r="J73" s="450"/>
      <c r="K73" s="442" t="e">
        <f ca="1">OFFSET(DSUCV!$Y$3,MATCH(Mau27!F73,DSUCV!$B$4:$B$61,),1)</f>
        <v>#DIV/0!</v>
      </c>
      <c r="L73" s="443"/>
      <c r="M73" s="125"/>
      <c r="N73" s="93">
        <v>4</v>
      </c>
    </row>
    <row r="74" spans="1:14" ht="18.75" customHeight="1">
      <c r="A74" s="439" t="s">
        <v>321</v>
      </c>
      <c r="B74" s="440"/>
      <c r="C74" s="440"/>
      <c r="D74" s="440"/>
      <c r="E74" s="441"/>
      <c r="F74" s="462" t="str">
        <f ca="1">IF(COUNTIF($N$49:N74,N74)&gt;VLOOKUP(N74,TTinDV!$A$6:$E$14,5,),"",OFFSET(DSUCV!$B$3,MATCH(Mau27!N74,DSUCV!$C$4:$C$61,)+COUNTIF($N$49:N74,N74)-1,))</f>
        <v>UV A12</v>
      </c>
      <c r="G74" s="463"/>
      <c r="H74" s="464"/>
      <c r="I74" s="449">
        <f ca="1">OFFSET(DSUCV!$Y$3,MATCH(Mau27!F74,DSUCV!$B$4:$B$61,),)</f>
        <v>0.00042496</v>
      </c>
      <c r="J74" s="450"/>
      <c r="K74" s="442" t="e">
        <f ca="1">OFFSET(DSUCV!$Y$3,MATCH(Mau27!F74,DSUCV!$B$4:$B$61,),1)</f>
        <v>#DIV/0!</v>
      </c>
      <c r="L74" s="443"/>
      <c r="M74" s="123"/>
      <c r="N74" s="93">
        <v>4</v>
      </c>
    </row>
    <row r="75" spans="1:14" ht="18.75" customHeight="1">
      <c r="A75" s="439"/>
      <c r="B75" s="440"/>
      <c r="C75" s="440"/>
      <c r="D75" s="440"/>
      <c r="E75" s="441"/>
      <c r="F75" s="462" t="str">
        <f ca="1">IF(COUNTIF($N$49:N75,N75)&gt;VLOOKUP(N75,TTinDV!$A$6:$E$14,5,),"",OFFSET(DSUCV!$B$3,MATCH(Mau27!N75,DSUCV!$C$4:$C$61,)+COUNTIF($N$49:N75,N75)-1,))</f>
        <v>UV A13</v>
      </c>
      <c r="G75" s="463"/>
      <c r="H75" s="464"/>
      <c r="I75" s="449">
        <f ca="1">OFFSET(DSUCV!$Y$3,MATCH(Mau27!F75,DSUCV!$B$4:$B$61,),)</f>
        <v>0.00042496</v>
      </c>
      <c r="J75" s="450"/>
      <c r="K75" s="442" t="e">
        <f ca="1">OFFSET(DSUCV!$Y$3,MATCH(Mau27!F75,DSUCV!$B$4:$B$61,),1)</f>
        <v>#DIV/0!</v>
      </c>
      <c r="L75" s="443"/>
      <c r="M75" s="123"/>
      <c r="N75" s="93">
        <v>4</v>
      </c>
    </row>
    <row r="76" spans="1:14" ht="18.75" customHeight="1">
      <c r="A76" s="439"/>
      <c r="B76" s="440"/>
      <c r="C76" s="440"/>
      <c r="D76" s="440"/>
      <c r="E76" s="441"/>
      <c r="F76" s="462" t="str">
        <f ca="1">IF(COUNTIF($N$49:N76,N76)&gt;VLOOKUP(N76,TTinDV!$A$6:$E$14,5,),"",OFFSET(DSUCV!$B$3,MATCH(Mau27!N76,DSUCV!$C$4:$C$61,)+COUNTIF($N$49:N76,N76)-1,))</f>
        <v>UV A14</v>
      </c>
      <c r="G76" s="463"/>
      <c r="H76" s="464"/>
      <c r="I76" s="449">
        <f ca="1">OFFSET(DSUCV!$Y$3,MATCH(Mau27!F76,DSUCV!$B$4:$B$61,),)</f>
        <v>0.00042496</v>
      </c>
      <c r="J76" s="450"/>
      <c r="K76" s="442" t="e">
        <f ca="1">OFFSET(DSUCV!$Y$3,MATCH(Mau27!F76,DSUCV!$B$4:$B$61,),1)</f>
        <v>#DIV/0!</v>
      </c>
      <c r="L76" s="443"/>
      <c r="M76" s="123"/>
      <c r="N76" s="93">
        <v>4</v>
      </c>
    </row>
    <row r="77" spans="1:14" ht="18.75" customHeight="1">
      <c r="A77" s="439"/>
      <c r="B77" s="440"/>
      <c r="C77" s="440"/>
      <c r="D77" s="440"/>
      <c r="E77" s="441"/>
      <c r="F77" s="462" t="str">
        <f ca="1">IF(COUNTIF($N$49:N77,N77)&gt;VLOOKUP(N77,TTinDV!$A$6:$E$14,5,),"",OFFSET(DSUCV!$B$3,MATCH(Mau27!N77,DSUCV!$C$4:$C$61,)+COUNTIF($N$49:N77,N77)-1,))</f>
        <v>UV A15</v>
      </c>
      <c r="G77" s="463"/>
      <c r="H77" s="464"/>
      <c r="I77" s="449">
        <f ca="1">OFFSET(DSUCV!$Y$3,MATCH(Mau27!F77,DSUCV!$B$4:$B$61,),)</f>
        <v>0.00042496</v>
      </c>
      <c r="J77" s="450"/>
      <c r="K77" s="442" t="e">
        <f ca="1">OFFSET(DSUCV!$Y$3,MATCH(Mau27!F77,DSUCV!$B$4:$B$61,),1)</f>
        <v>#DIV/0!</v>
      </c>
      <c r="L77" s="443"/>
      <c r="M77" s="123"/>
      <c r="N77" s="93">
        <v>4</v>
      </c>
    </row>
    <row r="78" spans="1:14" ht="18.75" customHeight="1">
      <c r="A78" s="439"/>
      <c r="B78" s="440"/>
      <c r="C78" s="440"/>
      <c r="D78" s="440"/>
      <c r="E78" s="441"/>
      <c r="F78" s="462">
        <f ca="1">IF(COUNTIF($N$49:N78,N78)&gt;VLOOKUP(N78,TTinDV!$A$6:$E$14,5,),"",OFFSET(DSUCV!$B$3,MATCH(Mau27!N78,DSUCV!$C$4:$C$61,)+COUNTIF($N$49:N78,N78)-1,))</f>
      </c>
      <c r="G78" s="463"/>
      <c r="H78" s="464"/>
      <c r="I78" s="449" t="e">
        <f ca="1">OFFSET(DSUCV!$Y$3,MATCH(Mau27!F78,DSUCV!$B$4:$B$61,),)</f>
        <v>#N/A</v>
      </c>
      <c r="J78" s="450"/>
      <c r="K78" s="442" t="e">
        <f ca="1">OFFSET(DSUCV!$Y$3,MATCH(Mau27!F78,DSUCV!$B$4:$B$61,),1)</f>
        <v>#N/A</v>
      </c>
      <c r="L78" s="443"/>
      <c r="M78" s="123"/>
      <c r="N78" s="93">
        <v>4</v>
      </c>
    </row>
    <row r="79" spans="1:14" ht="18.75" customHeight="1">
      <c r="A79" s="439"/>
      <c r="B79" s="440"/>
      <c r="C79" s="440"/>
      <c r="D79" s="440"/>
      <c r="E79" s="441"/>
      <c r="F79" s="462">
        <f ca="1">IF(COUNTIF($N$49:N79,N79)&gt;VLOOKUP(N79,TTinDV!$A$6:$E$14,5,),"",OFFSET(DSUCV!$B$3,MATCH(Mau27!N79,DSUCV!$C$4:$C$61,)+COUNTIF($N$49:N79,N79)-1,))</f>
      </c>
      <c r="G79" s="463"/>
      <c r="H79" s="464"/>
      <c r="I79" s="449" t="e">
        <f ca="1">OFFSET(DSUCV!$Y$3,MATCH(Mau27!F79,DSUCV!$B$4:$B$61,),)</f>
        <v>#N/A</v>
      </c>
      <c r="J79" s="450"/>
      <c r="K79" s="442" t="e">
        <f ca="1">OFFSET(DSUCV!$Y$3,MATCH(Mau27!F79,DSUCV!$B$4:$B$61,),1)</f>
        <v>#N/A</v>
      </c>
      <c r="L79" s="443"/>
      <c r="M79" s="123"/>
      <c r="N79" s="93">
        <v>4</v>
      </c>
    </row>
    <row r="80" spans="1:14" ht="18.75" customHeight="1">
      <c r="A80" s="417"/>
      <c r="B80" s="418"/>
      <c r="C80" s="418"/>
      <c r="D80" s="418"/>
      <c r="E80" s="419"/>
      <c r="F80" s="462">
        <f ca="1">IF(COUNTIF($N$49:N80,N80)&gt;VLOOKUP(N80,TTinDV!$A$6:$E$14,5,),"",OFFSET(DSUCV!$B$3,MATCH(Mau27!N80,DSUCV!$C$4:$C$61,)+COUNTIF($N$49:N80,N80)-1,))</f>
      </c>
      <c r="G80" s="463"/>
      <c r="H80" s="464"/>
      <c r="I80" s="449" t="e">
        <f ca="1">OFFSET(DSUCV!$Y$3,MATCH(Mau27!F80,DSUCV!$B$4:$B$61,),)</f>
        <v>#N/A</v>
      </c>
      <c r="J80" s="450"/>
      <c r="K80" s="442" t="e">
        <f ca="1">OFFSET(DSUCV!$Y$3,MATCH(Mau27!F80,DSUCV!$B$4:$B$61,),1)</f>
        <v>#N/A</v>
      </c>
      <c r="L80" s="443"/>
      <c r="M80" s="123"/>
      <c r="N80" s="93">
        <v>4</v>
      </c>
    </row>
    <row r="81" spans="1:14" ht="18.75" customHeight="1">
      <c r="A81" s="454" t="s">
        <v>333</v>
      </c>
      <c r="B81" s="455"/>
      <c r="C81" s="455"/>
      <c r="D81" s="455"/>
      <c r="E81" s="456"/>
      <c r="F81" s="462" t="str">
        <f ca="1">IF(COUNTIF($N$49:N81,N81)&gt;VLOOKUP(N81,TTinDV!$A$6:$E$14,5,),"",OFFSET(DSUCV!$B$3,MATCH(Mau27!N81,DSUCV!$C$4:$C$61,)+COUNTIF($N$49:N81,N81)-1,))</f>
        <v>UV A16</v>
      </c>
      <c r="G81" s="463"/>
      <c r="H81" s="464"/>
      <c r="I81" s="449">
        <f ca="1">OFFSET(DSUCV!$Y$3,MATCH(Mau27!F81,DSUCV!$B$4:$B$61,),)</f>
        <v>0.00042496</v>
      </c>
      <c r="J81" s="450"/>
      <c r="K81" s="442" t="e">
        <f ca="1">OFFSET(DSUCV!$Y$3,MATCH(Mau27!F81,DSUCV!$B$4:$B$61,),1)</f>
        <v>#DIV/0!</v>
      </c>
      <c r="L81" s="443"/>
      <c r="M81" s="125"/>
      <c r="N81" s="93">
        <v>5</v>
      </c>
    </row>
    <row r="82" spans="1:14" ht="18.75" customHeight="1">
      <c r="A82" s="439" t="s">
        <v>321</v>
      </c>
      <c r="B82" s="440"/>
      <c r="C82" s="440"/>
      <c r="D82" s="440"/>
      <c r="E82" s="441"/>
      <c r="F82" s="462" t="str">
        <f ca="1">IF(COUNTIF($N$49:N82,N82)&gt;VLOOKUP(N82,TTinDV!$A$6:$E$14,5,),"",OFFSET(DSUCV!$B$3,MATCH(Mau27!N82,DSUCV!$C$4:$C$61,)+COUNTIF($N$49:N82,N82)-1,))</f>
        <v>UV A17</v>
      </c>
      <c r="G82" s="463"/>
      <c r="H82" s="464"/>
      <c r="I82" s="449">
        <f ca="1">OFFSET(DSUCV!$Y$3,MATCH(Mau27!F82,DSUCV!$B$4:$B$61,),)</f>
        <v>0.00042496</v>
      </c>
      <c r="J82" s="450"/>
      <c r="K82" s="442" t="e">
        <f ca="1">OFFSET(DSUCV!$Y$3,MATCH(Mau27!F82,DSUCV!$B$4:$B$61,),1)</f>
        <v>#DIV/0!</v>
      </c>
      <c r="L82" s="443"/>
      <c r="M82" s="123"/>
      <c r="N82" s="93">
        <v>5</v>
      </c>
    </row>
    <row r="83" spans="1:14" ht="18.75" customHeight="1">
      <c r="A83" s="439"/>
      <c r="B83" s="440"/>
      <c r="C83" s="440"/>
      <c r="D83" s="440"/>
      <c r="E83" s="441"/>
      <c r="F83" s="462" t="str">
        <f ca="1">IF(COUNTIF($N$49:N83,N83)&gt;VLOOKUP(N83,TTinDV!$A$6:$E$14,5,),"",OFFSET(DSUCV!$B$3,MATCH(Mau27!N83,DSUCV!$C$4:$C$61,)+COUNTIF($N$49:N83,N83)-1,))</f>
        <v>UV A18</v>
      </c>
      <c r="G83" s="463"/>
      <c r="H83" s="464"/>
      <c r="I83" s="449">
        <f ca="1">OFFSET(DSUCV!$Y$3,MATCH(Mau27!F83,DSUCV!$B$4:$B$61,),)</f>
        <v>0.00042496</v>
      </c>
      <c r="J83" s="450"/>
      <c r="K83" s="442" t="e">
        <f ca="1">OFFSET(DSUCV!$Y$3,MATCH(Mau27!F83,DSUCV!$B$4:$B$61,),1)</f>
        <v>#DIV/0!</v>
      </c>
      <c r="L83" s="443"/>
      <c r="M83" s="123"/>
      <c r="N83" s="93">
        <v>5</v>
      </c>
    </row>
    <row r="84" spans="1:14" ht="18.75" customHeight="1">
      <c r="A84" s="439"/>
      <c r="B84" s="440"/>
      <c r="C84" s="440"/>
      <c r="D84" s="440"/>
      <c r="E84" s="441"/>
      <c r="F84" s="462" t="str">
        <f ca="1">IF(COUNTIF($N$49:N84,N84)&gt;VLOOKUP(N84,TTinDV!$A$6:$E$14,5,),"",OFFSET(DSUCV!$B$3,MATCH(Mau27!N84,DSUCV!$C$4:$C$61,)+COUNTIF($N$49:N84,N84)-1,))</f>
        <v>UV A19</v>
      </c>
      <c r="G84" s="463"/>
      <c r="H84" s="464"/>
      <c r="I84" s="449">
        <f ca="1">OFFSET(DSUCV!$Y$3,MATCH(Mau27!F84,DSUCV!$B$4:$B$61,),)</f>
        <v>0.00042496</v>
      </c>
      <c r="J84" s="450"/>
      <c r="K84" s="442" t="e">
        <f ca="1">OFFSET(DSUCV!$Y$3,MATCH(Mau27!F84,DSUCV!$B$4:$B$61,),1)</f>
        <v>#DIV/0!</v>
      </c>
      <c r="L84" s="443"/>
      <c r="M84" s="123"/>
      <c r="N84" s="93">
        <v>5</v>
      </c>
    </row>
    <row r="85" spans="1:14" ht="18.75" customHeight="1">
      <c r="A85" s="439"/>
      <c r="B85" s="440"/>
      <c r="C85" s="440"/>
      <c r="D85" s="440"/>
      <c r="E85" s="441"/>
      <c r="F85" s="462" t="str">
        <f ca="1">IF(COUNTIF($N$49:N85,N85)&gt;VLOOKUP(N85,TTinDV!$A$6:$E$14,5,),"",OFFSET(DSUCV!$B$3,MATCH(Mau27!N85,DSUCV!$C$4:$C$61,)+COUNTIF($N$49:N85,N85)-1,))</f>
        <v>UV A20</v>
      </c>
      <c r="G85" s="463"/>
      <c r="H85" s="464"/>
      <c r="I85" s="449">
        <f ca="1">OFFSET(DSUCV!$Y$3,MATCH(Mau27!F85,DSUCV!$B$4:$B$61,),)</f>
        <v>0.00042496</v>
      </c>
      <c r="J85" s="450"/>
      <c r="K85" s="442" t="e">
        <f ca="1">OFFSET(DSUCV!$Y$3,MATCH(Mau27!F85,DSUCV!$B$4:$B$61,),1)</f>
        <v>#DIV/0!</v>
      </c>
      <c r="L85" s="443"/>
      <c r="M85" s="123"/>
      <c r="N85" s="93">
        <v>5</v>
      </c>
    </row>
    <row r="86" spans="1:14" ht="18.75" customHeight="1">
      <c r="A86" s="439"/>
      <c r="B86" s="440"/>
      <c r="C86" s="440"/>
      <c r="D86" s="440"/>
      <c r="E86" s="441"/>
      <c r="F86" s="462" t="str">
        <f ca="1">IF(COUNTIF($N$49:N86,N86)&gt;VLOOKUP(N86,TTinDV!$A$6:$E$14,5,),"",OFFSET(DSUCV!$B$3,MATCH(Mau27!N86,DSUCV!$C$4:$C$61,)+COUNTIF($N$49:N86,N86)-1,))</f>
        <v>UV A21</v>
      </c>
      <c r="G86" s="463"/>
      <c r="H86" s="464"/>
      <c r="I86" s="449">
        <f ca="1">OFFSET(DSUCV!$Y$3,MATCH(Mau27!F86,DSUCV!$B$4:$B$61,),)</f>
        <v>9.987E-05</v>
      </c>
      <c r="J86" s="450"/>
      <c r="K86" s="442" t="e">
        <f ca="1">OFFSET(DSUCV!$Y$3,MATCH(Mau27!F86,DSUCV!$B$4:$B$61,),1)</f>
        <v>#DIV/0!</v>
      </c>
      <c r="L86" s="443"/>
      <c r="M86" s="123"/>
      <c r="N86" s="93">
        <v>5</v>
      </c>
    </row>
    <row r="87" spans="1:14" ht="18.75" customHeight="1">
      <c r="A87" s="439"/>
      <c r="B87" s="440"/>
      <c r="C87" s="440"/>
      <c r="D87" s="440"/>
      <c r="E87" s="441"/>
      <c r="F87" s="462" t="str">
        <f ca="1">IF(COUNTIF($N$49:N87,N87)&gt;VLOOKUP(N87,TTinDV!$A$6:$E$14,5,),"",OFFSET(DSUCV!$B$3,MATCH(Mau27!N87,DSUCV!$C$4:$C$61,)+COUNTIF($N$49:N87,N87)-1,))</f>
        <v>UV A22</v>
      </c>
      <c r="G87" s="463"/>
      <c r="H87" s="464"/>
      <c r="I87" s="449">
        <f ca="1">OFFSET(DSUCV!$Y$3,MATCH(Mau27!F87,DSUCV!$B$4:$B$61,),)</f>
        <v>0.00012513</v>
      </c>
      <c r="J87" s="450"/>
      <c r="K87" s="442" t="e">
        <f ca="1">OFFSET(DSUCV!$Y$3,MATCH(Mau27!F87,DSUCV!$B$4:$B$61,),1)</f>
        <v>#DIV/0!</v>
      </c>
      <c r="L87" s="443"/>
      <c r="M87" s="123"/>
      <c r="N87" s="93">
        <v>5</v>
      </c>
    </row>
    <row r="88" spans="1:14" ht="18.75" customHeight="1">
      <c r="A88" s="417"/>
      <c r="B88" s="418"/>
      <c r="C88" s="418"/>
      <c r="D88" s="418"/>
      <c r="E88" s="419"/>
      <c r="F88" s="462">
        <f ca="1">IF(COUNTIF($N$49:N88,N88)&gt;VLOOKUP(N88,TTinDV!$A$6:$E$14,5,),"",OFFSET(DSUCV!$B$3,MATCH(Mau27!N88,DSUCV!$C$4:$C$61,)+COUNTIF($N$49:N88,N88)-1,))</f>
      </c>
      <c r="G88" s="463"/>
      <c r="H88" s="464"/>
      <c r="I88" s="449" t="e">
        <f ca="1">OFFSET(DSUCV!$Y$3,MATCH(Mau27!F88,DSUCV!$B$4:$B$61,),)</f>
        <v>#N/A</v>
      </c>
      <c r="J88" s="450"/>
      <c r="K88" s="442" t="e">
        <f ca="1">OFFSET(DSUCV!$Y$3,MATCH(Mau27!F88,DSUCV!$B$4:$B$61,),1)</f>
        <v>#N/A</v>
      </c>
      <c r="L88" s="443"/>
      <c r="M88" s="123"/>
      <c r="N88" s="93">
        <v>5</v>
      </c>
    </row>
    <row r="89" spans="1:14" ht="18.75" customHeight="1">
      <c r="A89" s="454" t="s">
        <v>332</v>
      </c>
      <c r="B89" s="455"/>
      <c r="C89" s="455"/>
      <c r="D89" s="455"/>
      <c r="E89" s="456"/>
      <c r="F89" s="462" t="str">
        <f ca="1">IF(COUNTIF($N$49:N89,N89)&gt;VLOOKUP(N89,TTinDV!$A$6:$E$14,5,),"",OFFSET(DSUCV!$B$3,MATCH(Mau27!N89,DSUCV!$C$4:$C$61,)+COUNTIF($N$49:N89,N89)-1,))</f>
        <v>UV A23</v>
      </c>
      <c r="G89" s="463"/>
      <c r="H89" s="464"/>
      <c r="I89" s="449">
        <f ca="1">OFFSET(DSUCV!$Y$3,MATCH(Mau27!F89,DSUCV!$B$4:$B$61,),)</f>
        <v>0.00013581</v>
      </c>
      <c r="J89" s="450"/>
      <c r="K89" s="442" t="e">
        <f ca="1">OFFSET(DSUCV!$Y$3,MATCH(Mau27!F89,DSUCV!$B$4:$B$61,),1)</f>
        <v>#DIV/0!</v>
      </c>
      <c r="L89" s="443"/>
      <c r="M89" s="125"/>
      <c r="N89" s="93">
        <v>6</v>
      </c>
    </row>
    <row r="90" spans="1:14" ht="18.75" customHeight="1">
      <c r="A90" s="439" t="s">
        <v>321</v>
      </c>
      <c r="B90" s="440"/>
      <c r="C90" s="440"/>
      <c r="D90" s="440"/>
      <c r="E90" s="441"/>
      <c r="F90" s="462" t="str">
        <f ca="1">IF(COUNTIF($N$49:N90,N90)&gt;VLOOKUP(N90,TTinDV!$A$6:$E$14,5,),"",OFFSET(DSUCV!$B$3,MATCH(Mau27!N90,DSUCV!$C$4:$C$61,)+COUNTIF($N$49:N90,N90)-1,))</f>
        <v>UV A24</v>
      </c>
      <c r="G90" s="463"/>
      <c r="H90" s="464"/>
      <c r="I90" s="449">
        <f ca="1">OFFSET(DSUCV!$Y$3,MATCH(Mau27!F90,DSUCV!$B$4:$B$61,),)</f>
        <v>0.00012758</v>
      </c>
      <c r="J90" s="450"/>
      <c r="K90" s="442" t="e">
        <f ca="1">OFFSET(DSUCV!$Y$3,MATCH(Mau27!F90,DSUCV!$B$4:$B$61,),1)</f>
        <v>#DIV/0!</v>
      </c>
      <c r="L90" s="443"/>
      <c r="M90" s="123"/>
      <c r="N90" s="93">
        <v>6</v>
      </c>
    </row>
    <row r="91" spans="1:14" ht="18.75" customHeight="1">
      <c r="A91" s="439"/>
      <c r="B91" s="440"/>
      <c r="C91" s="440"/>
      <c r="D91" s="440"/>
      <c r="E91" s="441"/>
      <c r="F91" s="462" t="str">
        <f ca="1">IF(COUNTIF($N$49:N91,N91)&gt;VLOOKUP(N91,TTinDV!$A$6:$E$14,5,),"",OFFSET(DSUCV!$B$3,MATCH(Mau27!N91,DSUCV!$C$4:$C$61,)+COUNTIF($N$49:N91,N91)-1,))</f>
        <v>UV A25</v>
      </c>
      <c r="G91" s="463"/>
      <c r="H91" s="464"/>
      <c r="I91" s="449">
        <f ca="1">OFFSET(DSUCV!$Y$3,MATCH(Mau27!F91,DSUCV!$B$4:$B$61,),)</f>
        <v>0.00020672</v>
      </c>
      <c r="J91" s="450"/>
      <c r="K91" s="442" t="e">
        <f ca="1">OFFSET(DSUCV!$Y$3,MATCH(Mau27!F91,DSUCV!$B$4:$B$61,),1)</f>
        <v>#DIV/0!</v>
      </c>
      <c r="L91" s="443"/>
      <c r="M91" s="123"/>
      <c r="N91" s="93">
        <v>6</v>
      </c>
    </row>
    <row r="92" spans="1:14" ht="18.75" customHeight="1">
      <c r="A92" s="439"/>
      <c r="B92" s="440"/>
      <c r="C92" s="440"/>
      <c r="D92" s="440"/>
      <c r="E92" s="441"/>
      <c r="F92" s="462">
        <f ca="1">IF(COUNTIF($N$49:N92,N92)&gt;VLOOKUP(N92,TTinDV!$A$6:$E$14,5,),"",OFFSET(DSUCV!$B$3,MATCH(Mau27!N92,DSUCV!$C$4:$C$61,)+COUNTIF($N$49:N92,N92)-1,))</f>
      </c>
      <c r="G92" s="463"/>
      <c r="H92" s="464"/>
      <c r="I92" s="449" t="e">
        <f ca="1">OFFSET(DSUCV!$Y$3,MATCH(Mau27!F92,DSUCV!$B$4:$B$61,),)</f>
        <v>#N/A</v>
      </c>
      <c r="J92" s="450"/>
      <c r="K92" s="442" t="e">
        <f ca="1">OFFSET(DSUCV!$Y$3,MATCH(Mau27!F92,DSUCV!$B$4:$B$61,),1)</f>
        <v>#N/A</v>
      </c>
      <c r="L92" s="443"/>
      <c r="M92" s="123"/>
      <c r="N92" s="93">
        <v>6</v>
      </c>
    </row>
    <row r="93" spans="1:14" ht="18.75" customHeight="1">
      <c r="A93" s="439"/>
      <c r="B93" s="440"/>
      <c r="C93" s="440"/>
      <c r="D93" s="440"/>
      <c r="E93" s="441"/>
      <c r="F93" s="462">
        <f ca="1">IF(COUNTIF($N$49:N93,N93)&gt;VLOOKUP(N93,TTinDV!$A$6:$E$14,5,),"",OFFSET(DSUCV!$B$3,MATCH(Mau27!N93,DSUCV!$C$4:$C$61,)+COUNTIF($N$49:N93,N93)-1,))</f>
      </c>
      <c r="G93" s="463"/>
      <c r="H93" s="464"/>
      <c r="I93" s="449" t="e">
        <f ca="1">OFFSET(DSUCV!$Y$3,MATCH(Mau27!F93,DSUCV!$B$4:$B$61,),)</f>
        <v>#N/A</v>
      </c>
      <c r="J93" s="450"/>
      <c r="K93" s="442" t="e">
        <f ca="1">OFFSET(DSUCV!$Y$3,MATCH(Mau27!F93,DSUCV!$B$4:$B$61,),1)</f>
        <v>#N/A</v>
      </c>
      <c r="L93" s="443"/>
      <c r="M93" s="123"/>
      <c r="N93" s="93">
        <v>6</v>
      </c>
    </row>
    <row r="94" spans="1:14" ht="18.75" customHeight="1">
      <c r="A94" s="439"/>
      <c r="B94" s="440"/>
      <c r="C94" s="440"/>
      <c r="D94" s="440"/>
      <c r="E94" s="441"/>
      <c r="F94" s="462">
        <f ca="1">IF(COUNTIF($N$49:N94,N94)&gt;VLOOKUP(N94,TTinDV!$A$6:$E$14,5,),"",OFFSET(DSUCV!$B$3,MATCH(Mau27!N94,DSUCV!$C$4:$C$61,)+COUNTIF($N$49:N94,N94)-1,))</f>
      </c>
      <c r="G94" s="463"/>
      <c r="H94" s="464"/>
      <c r="I94" s="449" t="e">
        <f ca="1">OFFSET(DSUCV!$Y$3,MATCH(Mau27!F94,DSUCV!$B$4:$B$61,),)</f>
        <v>#N/A</v>
      </c>
      <c r="J94" s="450"/>
      <c r="K94" s="442" t="e">
        <f ca="1">OFFSET(DSUCV!$Y$3,MATCH(Mau27!F94,DSUCV!$B$4:$B$61,),1)</f>
        <v>#N/A</v>
      </c>
      <c r="L94" s="443"/>
      <c r="M94" s="123"/>
      <c r="N94" s="93">
        <v>6</v>
      </c>
    </row>
    <row r="95" spans="1:14" ht="18.75" customHeight="1">
      <c r="A95" s="439"/>
      <c r="B95" s="440"/>
      <c r="C95" s="440"/>
      <c r="D95" s="440"/>
      <c r="E95" s="441"/>
      <c r="F95" s="462">
        <f ca="1">IF(COUNTIF($N$49:N95,N95)&gt;VLOOKUP(N95,TTinDV!$A$6:$E$14,5,),"",OFFSET(DSUCV!$B$3,MATCH(Mau27!N95,DSUCV!$C$4:$C$61,)+COUNTIF($N$49:N95,N95)-1,))</f>
      </c>
      <c r="G95" s="463"/>
      <c r="H95" s="464"/>
      <c r="I95" s="449" t="e">
        <f ca="1">OFFSET(DSUCV!$Y$3,MATCH(Mau27!F95,DSUCV!$B$4:$B$61,),)</f>
        <v>#N/A</v>
      </c>
      <c r="J95" s="450"/>
      <c r="K95" s="442" t="e">
        <f ca="1">OFFSET(DSUCV!$Y$3,MATCH(Mau27!F95,DSUCV!$B$4:$B$61,),1)</f>
        <v>#N/A</v>
      </c>
      <c r="L95" s="443"/>
      <c r="M95" s="123"/>
      <c r="N95" s="93">
        <v>6</v>
      </c>
    </row>
    <row r="96" spans="1:14" ht="18.75" customHeight="1">
      <c r="A96" s="417"/>
      <c r="B96" s="418"/>
      <c r="C96" s="418"/>
      <c r="D96" s="418"/>
      <c r="E96" s="419"/>
      <c r="F96" s="462">
        <f ca="1">IF(COUNTIF($N$49:N96,N96)&gt;VLOOKUP(N96,TTinDV!$A$6:$E$14,5,),"",OFFSET(DSUCV!$B$3,MATCH(Mau27!N96,DSUCV!$C$4:$C$61,)+COUNTIF($N$49:N96,N96)-1,))</f>
      </c>
      <c r="G96" s="463"/>
      <c r="H96" s="464"/>
      <c r="I96" s="449" t="e">
        <f ca="1">OFFSET(DSUCV!$Y$3,MATCH(Mau27!F96,DSUCV!$B$4:$B$61,),)</f>
        <v>#N/A</v>
      </c>
      <c r="J96" s="450"/>
      <c r="K96" s="442" t="e">
        <f ca="1">OFFSET(DSUCV!$Y$3,MATCH(Mau27!F96,DSUCV!$B$4:$B$61,),1)</f>
        <v>#N/A</v>
      </c>
      <c r="L96" s="443"/>
      <c r="M96" s="123"/>
      <c r="N96" s="93">
        <v>6</v>
      </c>
    </row>
    <row r="97" spans="1:14" ht="18.75" customHeight="1">
      <c r="A97" s="454" t="s">
        <v>331</v>
      </c>
      <c r="B97" s="455"/>
      <c r="C97" s="455"/>
      <c r="D97" s="455"/>
      <c r="E97" s="456"/>
      <c r="F97" s="462" t="str">
        <f ca="1">IF(COUNTIF($N$49:N97,N97)&gt;VLOOKUP(N97,TTinDV!$A$6:$E$14,5,),"",OFFSET(DSUCV!$B$3,MATCH(Mau27!N97,DSUCV!$C$4:$C$61,)+COUNTIF($N$49:N97,N97)-1,))</f>
        <v>UV A26</v>
      </c>
      <c r="G97" s="463"/>
      <c r="H97" s="464"/>
      <c r="I97" s="449">
        <f ca="1">OFFSET(DSUCV!$Y$3,MATCH(Mau27!F97,DSUCV!$B$4:$B$61,),)</f>
        <v>0.0001991</v>
      </c>
      <c r="J97" s="450"/>
      <c r="K97" s="442" t="e">
        <f ca="1">OFFSET(DSUCV!$Y$3,MATCH(Mau27!F97,DSUCV!$B$4:$B$61,),1)</f>
        <v>#DIV/0!</v>
      </c>
      <c r="L97" s="443"/>
      <c r="M97" s="125"/>
      <c r="N97" s="93">
        <v>7</v>
      </c>
    </row>
    <row r="98" spans="1:14" ht="18.75" customHeight="1">
      <c r="A98" s="439" t="s">
        <v>321</v>
      </c>
      <c r="B98" s="440"/>
      <c r="C98" s="440"/>
      <c r="D98" s="440"/>
      <c r="E98" s="441"/>
      <c r="F98" s="462" t="str">
        <f ca="1">IF(COUNTIF($N$49:N98,N98)&gt;VLOOKUP(N98,TTinDV!$A$6:$E$14,5,),"",OFFSET(DSUCV!$B$3,MATCH(Mau27!N98,DSUCV!$C$4:$C$61,)+COUNTIF($N$49:N98,N98)-1,))</f>
        <v>UV A27</v>
      </c>
      <c r="G98" s="463"/>
      <c r="H98" s="464"/>
      <c r="I98" s="449">
        <f ca="1">OFFSET(DSUCV!$Y$3,MATCH(Mau27!F98,DSUCV!$B$4:$B$61,),)</f>
        <v>0.00019272</v>
      </c>
      <c r="J98" s="450"/>
      <c r="K98" s="442" t="e">
        <f ca="1">OFFSET(DSUCV!$Y$3,MATCH(Mau27!F98,DSUCV!$B$4:$B$61,),1)</f>
        <v>#DIV/0!</v>
      </c>
      <c r="L98" s="443"/>
      <c r="M98" s="123"/>
      <c r="N98" s="93">
        <v>7</v>
      </c>
    </row>
    <row r="99" spans="1:14" ht="18.75" customHeight="1">
      <c r="A99" s="439"/>
      <c r="B99" s="440"/>
      <c r="C99" s="440"/>
      <c r="D99" s="440"/>
      <c r="E99" s="441"/>
      <c r="F99" s="462" t="str">
        <f ca="1">IF(COUNTIF($N$49:N99,N99)&gt;VLOOKUP(N99,TTinDV!$A$6:$E$14,5,),"",OFFSET(DSUCV!$B$3,MATCH(Mau27!N99,DSUCV!$C$4:$C$61,)+COUNTIF($N$49:N99,N99)-1,))</f>
        <v>UV A28</v>
      </c>
      <c r="G99" s="463"/>
      <c r="H99" s="464"/>
      <c r="I99" s="449">
        <f ca="1">OFFSET(DSUCV!$Y$3,MATCH(Mau27!F99,DSUCV!$B$4:$B$61,),)</f>
        <v>0.00020886</v>
      </c>
      <c r="J99" s="450"/>
      <c r="K99" s="442" t="e">
        <f ca="1">OFFSET(DSUCV!$Y$3,MATCH(Mau27!F99,DSUCV!$B$4:$B$61,),1)</f>
        <v>#DIV/0!</v>
      </c>
      <c r="L99" s="443"/>
      <c r="M99" s="123"/>
      <c r="N99" s="93">
        <v>7</v>
      </c>
    </row>
    <row r="100" spans="1:14" ht="18.75" customHeight="1">
      <c r="A100" s="439"/>
      <c r="B100" s="440"/>
      <c r="C100" s="440"/>
      <c r="D100" s="440"/>
      <c r="E100" s="441"/>
      <c r="F100" s="462" t="str">
        <f ca="1">IF(COUNTIF($N$49:N100,N100)&gt;VLOOKUP(N100,TTinDV!$A$6:$E$14,5,),"",OFFSET(DSUCV!$B$3,MATCH(Mau27!N100,DSUCV!$C$4:$C$61,)+COUNTIF($N$49:N100,N100)-1,))</f>
        <v>UV A29</v>
      </c>
      <c r="G100" s="463"/>
      <c r="H100" s="464"/>
      <c r="I100" s="449">
        <f ca="1">OFFSET(DSUCV!$Y$3,MATCH(Mau27!F100,DSUCV!$B$4:$B$61,),)</f>
        <v>0.00042496</v>
      </c>
      <c r="J100" s="450"/>
      <c r="K100" s="442" t="e">
        <f ca="1">OFFSET(DSUCV!$Y$3,MATCH(Mau27!F100,DSUCV!$B$4:$B$61,),1)</f>
        <v>#DIV/0!</v>
      </c>
      <c r="L100" s="443"/>
      <c r="M100" s="123"/>
      <c r="N100" s="93">
        <v>7</v>
      </c>
    </row>
    <row r="101" spans="1:14" ht="18.75" customHeight="1">
      <c r="A101" s="439"/>
      <c r="B101" s="440"/>
      <c r="C101" s="440"/>
      <c r="D101" s="440"/>
      <c r="E101" s="441"/>
      <c r="F101" s="462" t="str">
        <f ca="1">IF(COUNTIF($N$49:N101,N101)&gt;VLOOKUP(N101,TTinDV!$A$6:$E$14,5,),"",OFFSET(DSUCV!$B$3,MATCH(Mau27!N101,DSUCV!$C$4:$C$61,)+COUNTIF($N$49:N101,N101)-1,))</f>
        <v>UV A30</v>
      </c>
      <c r="G101" s="463"/>
      <c r="H101" s="464"/>
      <c r="I101" s="449">
        <f ca="1">OFFSET(DSUCV!$Y$3,MATCH(Mau27!F101,DSUCV!$B$4:$B$61,),)</f>
        <v>0.00042496</v>
      </c>
      <c r="J101" s="450"/>
      <c r="K101" s="442" t="e">
        <f ca="1">OFFSET(DSUCV!$Y$3,MATCH(Mau27!F101,DSUCV!$B$4:$B$61,),1)</f>
        <v>#DIV/0!</v>
      </c>
      <c r="L101" s="443"/>
      <c r="M101" s="123"/>
      <c r="N101" s="93">
        <v>7</v>
      </c>
    </row>
    <row r="102" spans="1:14" ht="18.75" customHeight="1">
      <c r="A102" s="439"/>
      <c r="B102" s="440"/>
      <c r="C102" s="440"/>
      <c r="D102" s="440"/>
      <c r="E102" s="441"/>
      <c r="F102" s="462" t="str">
        <f ca="1">IF(COUNTIF($N$49:N102,N102)&gt;VLOOKUP(N102,TTinDV!$A$6:$E$14,5,),"",OFFSET(DSUCV!$B$3,MATCH(Mau27!N102,DSUCV!$C$4:$C$61,)+COUNTIF($N$49:N102,N102)-1,))</f>
        <v>UV A31</v>
      </c>
      <c r="G102" s="463"/>
      <c r="H102" s="464"/>
      <c r="I102" s="449">
        <f ca="1">OFFSET(DSUCV!$Y$3,MATCH(Mau27!F102,DSUCV!$B$4:$B$61,),)</f>
        <v>0.00042496</v>
      </c>
      <c r="J102" s="450"/>
      <c r="K102" s="442" t="e">
        <f ca="1">OFFSET(DSUCV!$Y$3,MATCH(Mau27!F102,DSUCV!$B$4:$B$61,),1)</f>
        <v>#DIV/0!</v>
      </c>
      <c r="L102" s="443"/>
      <c r="M102" s="123"/>
      <c r="N102" s="93">
        <v>7</v>
      </c>
    </row>
    <row r="103" spans="1:14" ht="18.75" customHeight="1">
      <c r="A103" s="439"/>
      <c r="B103" s="440"/>
      <c r="C103" s="440"/>
      <c r="D103" s="440"/>
      <c r="E103" s="441"/>
      <c r="F103" s="462" t="str">
        <f ca="1">IF(COUNTIF($N$49:N103,N103)&gt;VLOOKUP(N103,TTinDV!$A$6:$E$14,5,),"",OFFSET(DSUCV!$B$3,MATCH(Mau27!N103,DSUCV!$C$4:$C$61,)+COUNTIF($N$49:N103,N103)-1,))</f>
        <v>UV A32</v>
      </c>
      <c r="G103" s="463"/>
      <c r="H103" s="464"/>
      <c r="I103" s="449">
        <f ca="1">OFFSET(DSUCV!$Y$3,MATCH(Mau27!F103,DSUCV!$B$4:$B$61,),)</f>
        <v>0.00042496</v>
      </c>
      <c r="J103" s="450"/>
      <c r="K103" s="442" t="e">
        <f ca="1">OFFSET(DSUCV!$Y$3,MATCH(Mau27!F103,DSUCV!$B$4:$B$61,),1)</f>
        <v>#DIV/0!</v>
      </c>
      <c r="L103" s="443"/>
      <c r="M103" s="123"/>
      <c r="N103" s="93">
        <v>7</v>
      </c>
    </row>
    <row r="104" spans="1:14" ht="18.75" customHeight="1">
      <c r="A104" s="417"/>
      <c r="B104" s="418"/>
      <c r="C104" s="418"/>
      <c r="D104" s="418"/>
      <c r="E104" s="419"/>
      <c r="F104" s="462">
        <f ca="1">IF(COUNTIF($N$49:N104,N104)&gt;VLOOKUP(N104,TTinDV!$A$6:$E$14,5,),"",OFFSET(DSUCV!$B$3,MATCH(Mau27!N104,DSUCV!$C$4:$C$61,)+COUNTIF($N$49:N104,N104)-1,))</f>
      </c>
      <c r="G104" s="463"/>
      <c r="H104" s="464"/>
      <c r="I104" s="449" t="e">
        <f ca="1">OFFSET(DSUCV!$Y$3,MATCH(Mau27!F104,DSUCV!$B$4:$B$61,),)</f>
        <v>#N/A</v>
      </c>
      <c r="J104" s="450"/>
      <c r="K104" s="442" t="e">
        <f ca="1">OFFSET(DSUCV!$Y$3,MATCH(Mau27!F104,DSUCV!$B$4:$B$61,),1)</f>
        <v>#N/A</v>
      </c>
      <c r="L104" s="443"/>
      <c r="M104" s="123"/>
      <c r="N104" s="93">
        <v>7</v>
      </c>
    </row>
    <row r="105" spans="1:14" ht="18.75" customHeight="1">
      <c r="A105" s="454" t="s">
        <v>330</v>
      </c>
      <c r="B105" s="455"/>
      <c r="C105" s="455"/>
      <c r="D105" s="455"/>
      <c r="E105" s="456"/>
      <c r="F105" s="462" t="str">
        <f ca="1">IF(COUNTIF($N$49:N105,N105)&gt;VLOOKUP(N105,TTinDV!$A$6:$E$14,5,),"",OFFSET(DSUCV!$B$3,MATCH(Mau27!N105,DSUCV!$C$4:$C$61,)+COUNTIF($N$49:N105,N105)-1,))</f>
        <v>UV A33</v>
      </c>
      <c r="G105" s="463"/>
      <c r="H105" s="464"/>
      <c r="I105" s="449">
        <f ca="1">OFFSET(DSUCV!$Y$3,MATCH(Mau27!F105,DSUCV!$B$4:$B$61,),)</f>
        <v>0.00042496</v>
      </c>
      <c r="J105" s="450"/>
      <c r="K105" s="442" t="e">
        <f ca="1">OFFSET(DSUCV!$Y$3,MATCH(Mau27!F105,DSUCV!$B$4:$B$61,),1)</f>
        <v>#DIV/0!</v>
      </c>
      <c r="L105" s="443"/>
      <c r="M105" s="125"/>
      <c r="N105" s="93">
        <v>8</v>
      </c>
    </row>
    <row r="106" spans="1:14" ht="18.75" customHeight="1">
      <c r="A106" s="439" t="s">
        <v>321</v>
      </c>
      <c r="B106" s="440"/>
      <c r="C106" s="440"/>
      <c r="D106" s="440"/>
      <c r="E106" s="441"/>
      <c r="F106" s="462" t="str">
        <f ca="1">IF(COUNTIF($N$49:N106,N106)&gt;VLOOKUP(N106,TTinDV!$A$6:$E$14,5,),"",OFFSET(DSUCV!$B$3,MATCH(Mau27!N106,DSUCV!$C$4:$C$61,)+COUNTIF($N$49:N106,N106)-1,))</f>
        <v>UV A34</v>
      </c>
      <c r="G106" s="463"/>
      <c r="H106" s="464"/>
      <c r="I106" s="449">
        <f ca="1">OFFSET(DSUCV!$Y$3,MATCH(Mau27!F106,DSUCV!$B$4:$B$61,),)</f>
        <v>0.00042496</v>
      </c>
      <c r="J106" s="450"/>
      <c r="K106" s="442" t="e">
        <f ca="1">OFFSET(DSUCV!$Y$3,MATCH(Mau27!F106,DSUCV!$B$4:$B$61,),1)</f>
        <v>#DIV/0!</v>
      </c>
      <c r="L106" s="443"/>
      <c r="M106" s="123"/>
      <c r="N106" s="93">
        <v>8</v>
      </c>
    </row>
    <row r="107" spans="1:14" ht="18.75" customHeight="1">
      <c r="A107" s="439"/>
      <c r="B107" s="440"/>
      <c r="C107" s="440"/>
      <c r="D107" s="440"/>
      <c r="E107" s="441"/>
      <c r="F107" s="462" t="str">
        <f ca="1">IF(COUNTIF($N$49:N107,N107)&gt;VLOOKUP(N107,TTinDV!$A$6:$E$14,5,),"",OFFSET(DSUCV!$B$3,MATCH(Mau27!N107,DSUCV!$C$4:$C$61,)+COUNTIF($N$49:N107,N107)-1,))</f>
        <v>UV A35</v>
      </c>
      <c r="G107" s="463"/>
      <c r="H107" s="464"/>
      <c r="I107" s="449">
        <f ca="1">OFFSET(DSUCV!$Y$3,MATCH(Mau27!F107,DSUCV!$B$4:$B$61,),)</f>
        <v>0.00042496</v>
      </c>
      <c r="J107" s="450"/>
      <c r="K107" s="442" t="e">
        <f ca="1">OFFSET(DSUCV!$Y$3,MATCH(Mau27!F107,DSUCV!$B$4:$B$61,),1)</f>
        <v>#DIV/0!</v>
      </c>
      <c r="L107" s="443"/>
      <c r="M107" s="123"/>
      <c r="N107" s="93">
        <v>8</v>
      </c>
    </row>
    <row r="108" spans="1:14" ht="18.75" customHeight="1">
      <c r="A108" s="439"/>
      <c r="B108" s="440"/>
      <c r="C108" s="440"/>
      <c r="D108" s="440"/>
      <c r="E108" s="441"/>
      <c r="F108" s="462" t="str">
        <f ca="1">IF(COUNTIF($N$49:N108,N108)&gt;VLOOKUP(N108,TTinDV!$A$6:$E$14,5,),"",OFFSET(DSUCV!$B$3,MATCH(Mau27!N108,DSUCV!$C$4:$C$61,)+COUNTIF($N$49:N108,N108)-1,))</f>
        <v>UV A36</v>
      </c>
      <c r="G108" s="463"/>
      <c r="H108" s="464"/>
      <c r="I108" s="449">
        <f ca="1">OFFSET(DSUCV!$Y$3,MATCH(Mau27!F108,DSUCV!$B$4:$B$61,),)</f>
        <v>0.00042496</v>
      </c>
      <c r="J108" s="450"/>
      <c r="K108" s="442" t="e">
        <f ca="1">OFFSET(DSUCV!$Y$3,MATCH(Mau27!F108,DSUCV!$B$4:$B$61,),1)</f>
        <v>#DIV/0!</v>
      </c>
      <c r="L108" s="443"/>
      <c r="M108" s="123"/>
      <c r="N108" s="93">
        <v>8</v>
      </c>
    </row>
    <row r="109" spans="1:14" ht="18.75" customHeight="1">
      <c r="A109" s="439"/>
      <c r="B109" s="440"/>
      <c r="C109" s="440"/>
      <c r="D109" s="440"/>
      <c r="E109" s="441"/>
      <c r="F109" s="462" t="str">
        <f ca="1">IF(COUNTIF($N$49:N109,N109)&gt;VLOOKUP(N109,TTinDV!$A$6:$E$14,5,),"",OFFSET(DSUCV!$B$3,MATCH(Mau27!N109,DSUCV!$C$4:$C$61,)+COUNTIF($N$49:N109,N109)-1,))</f>
        <v>UV A37</v>
      </c>
      <c r="G109" s="463"/>
      <c r="H109" s="464"/>
      <c r="I109" s="449">
        <f ca="1">OFFSET(DSUCV!$Y$3,MATCH(Mau27!F109,DSUCV!$B$4:$B$61,),)</f>
        <v>0.00042496</v>
      </c>
      <c r="J109" s="450"/>
      <c r="K109" s="442" t="e">
        <f ca="1">OFFSET(DSUCV!$Y$3,MATCH(Mau27!F109,DSUCV!$B$4:$B$61,),1)</f>
        <v>#DIV/0!</v>
      </c>
      <c r="L109" s="443"/>
      <c r="M109" s="123"/>
      <c r="N109" s="93">
        <v>8</v>
      </c>
    </row>
    <row r="110" spans="1:14" ht="18.75" customHeight="1">
      <c r="A110" s="439"/>
      <c r="B110" s="440"/>
      <c r="C110" s="440"/>
      <c r="D110" s="440"/>
      <c r="E110" s="441"/>
      <c r="F110" s="462">
        <f ca="1">IF(COUNTIF($N$49:N110,N110)&gt;VLOOKUP(N110,TTinDV!$A$6:$E$14,5,),"",OFFSET(DSUCV!$B$3,MATCH(Mau27!N110,DSUCV!$C$4:$C$61,)+COUNTIF($N$49:N110,N110)-1,))</f>
      </c>
      <c r="G110" s="463"/>
      <c r="H110" s="464"/>
      <c r="I110" s="449" t="e">
        <f ca="1">OFFSET(DSUCV!$Y$3,MATCH(Mau27!F110,DSUCV!$B$4:$B$61,),)</f>
        <v>#N/A</v>
      </c>
      <c r="J110" s="450"/>
      <c r="K110" s="442" t="e">
        <f ca="1">OFFSET(DSUCV!$Y$3,MATCH(Mau27!F110,DSUCV!$B$4:$B$61,),1)</f>
        <v>#N/A</v>
      </c>
      <c r="L110" s="443"/>
      <c r="M110" s="123"/>
      <c r="N110" s="93">
        <v>8</v>
      </c>
    </row>
    <row r="111" spans="1:14" ht="18.75" customHeight="1">
      <c r="A111" s="439"/>
      <c r="B111" s="440"/>
      <c r="C111" s="440"/>
      <c r="D111" s="440"/>
      <c r="E111" s="441"/>
      <c r="F111" s="462">
        <f ca="1">IF(COUNTIF($N$49:N111,N111)&gt;VLOOKUP(N111,TTinDV!$A$6:$E$14,5,),"",OFFSET(DSUCV!$B$3,MATCH(Mau27!N111,DSUCV!$C$4:$C$61,)+COUNTIF($N$49:N111,N111)-1,))</f>
      </c>
      <c r="G111" s="463"/>
      <c r="H111" s="464"/>
      <c r="I111" s="449" t="e">
        <f ca="1">OFFSET(DSUCV!$Y$3,MATCH(Mau27!F111,DSUCV!$B$4:$B$61,),)</f>
        <v>#N/A</v>
      </c>
      <c r="J111" s="450"/>
      <c r="K111" s="442" t="e">
        <f ca="1">OFFSET(DSUCV!$Y$3,MATCH(Mau27!F111,DSUCV!$B$4:$B$61,),1)</f>
        <v>#N/A</v>
      </c>
      <c r="L111" s="443"/>
      <c r="M111" s="123"/>
      <c r="N111" s="93">
        <v>8</v>
      </c>
    </row>
    <row r="112" spans="1:14" ht="18.75" customHeight="1">
      <c r="A112" s="417"/>
      <c r="B112" s="418"/>
      <c r="C112" s="418"/>
      <c r="D112" s="418"/>
      <c r="E112" s="419"/>
      <c r="F112" s="462">
        <f ca="1">IF(COUNTIF($N$49:N112,N112)&gt;VLOOKUP(N112,TTinDV!$A$6:$E$14,5,),"",OFFSET(DSUCV!$B$3,MATCH(Mau27!N112,DSUCV!$C$4:$C$61,)+COUNTIF($N$49:N112,N112)-1,))</f>
      </c>
      <c r="G112" s="463"/>
      <c r="H112" s="464"/>
      <c r="I112" s="449" t="e">
        <f ca="1">OFFSET(DSUCV!$Y$3,MATCH(Mau27!F112,DSUCV!$B$4:$B$61,),)</f>
        <v>#N/A</v>
      </c>
      <c r="J112" s="450"/>
      <c r="K112" s="442" t="e">
        <f ca="1">OFFSET(DSUCV!$Y$3,MATCH(Mau27!F112,DSUCV!$B$4:$B$61,),1)</f>
        <v>#N/A</v>
      </c>
      <c r="L112" s="443"/>
      <c r="M112" s="123"/>
      <c r="N112" s="93">
        <v>8</v>
      </c>
    </row>
    <row r="113" spans="1:14" ht="18.75" customHeight="1">
      <c r="A113" s="454" t="s">
        <v>329</v>
      </c>
      <c r="B113" s="455"/>
      <c r="C113" s="455"/>
      <c r="D113" s="455"/>
      <c r="E113" s="456"/>
      <c r="F113" s="462" t="str">
        <f ca="1">IF(COUNTIF($N$49:N113,N113)&gt;VLOOKUP(N113,TTinDV!$A$6:$E$14,5,),"",OFFSET(DSUCV!$B$3,MATCH(Mau27!N113,DSUCV!$C$4:$C$61,)+COUNTIF($N$49:N113,N113)-1,))</f>
        <v>UV A38</v>
      </c>
      <c r="G113" s="463"/>
      <c r="H113" s="464"/>
      <c r="I113" s="449">
        <f ca="1">OFFSET(DSUCV!$Y$3,MATCH(Mau27!F113,DSUCV!$B$4:$B$61,),)</f>
        <v>0.00042496</v>
      </c>
      <c r="J113" s="450"/>
      <c r="K113" s="442" t="e">
        <f ca="1">OFFSET(DSUCV!$Y$3,MATCH(Mau27!F113,DSUCV!$B$4:$B$61,),1)</f>
        <v>#DIV/0!</v>
      </c>
      <c r="L113" s="443"/>
      <c r="M113" s="125"/>
      <c r="N113" s="93">
        <v>9</v>
      </c>
    </row>
    <row r="114" spans="1:14" ht="18.75" customHeight="1">
      <c r="A114" s="439" t="s">
        <v>321</v>
      </c>
      <c r="B114" s="440"/>
      <c r="C114" s="440"/>
      <c r="D114" s="440"/>
      <c r="E114" s="441"/>
      <c r="F114" s="462" t="str">
        <f ca="1">IF(COUNTIF($N$49:N114,N114)&gt;VLOOKUP(N114,TTinDV!$A$6:$E$14,5,),"",OFFSET(DSUCV!$B$3,MATCH(Mau27!N114,DSUCV!$C$4:$C$61,)+COUNTIF($N$49:N114,N114)-1,))</f>
        <v>UV A39</v>
      </c>
      <c r="G114" s="463"/>
      <c r="H114" s="464"/>
      <c r="I114" s="449">
        <f ca="1">OFFSET(DSUCV!$Y$3,MATCH(Mau27!F114,DSUCV!$B$4:$B$61,),)</f>
        <v>0.00042496</v>
      </c>
      <c r="J114" s="450"/>
      <c r="K114" s="442" t="e">
        <f ca="1">OFFSET(DSUCV!$Y$3,MATCH(Mau27!F114,DSUCV!$B$4:$B$61,),1)</f>
        <v>#DIV/0!</v>
      </c>
      <c r="L114" s="443"/>
      <c r="M114" s="123"/>
      <c r="N114" s="93">
        <v>9</v>
      </c>
    </row>
    <row r="115" spans="1:14" ht="18.75" customHeight="1">
      <c r="A115" s="439"/>
      <c r="B115" s="440"/>
      <c r="C115" s="440"/>
      <c r="D115" s="440"/>
      <c r="E115" s="441"/>
      <c r="F115" s="462" t="str">
        <f ca="1">IF(COUNTIF($N$49:N115,N115)&gt;VLOOKUP(N115,TTinDV!$A$6:$E$14,5,),"",OFFSET(DSUCV!$B$3,MATCH(Mau27!N115,DSUCV!$C$4:$C$61,)+COUNTIF($N$49:N115,N115)-1,))</f>
        <v>UV A40</v>
      </c>
      <c r="G115" s="463"/>
      <c r="H115" s="464"/>
      <c r="I115" s="449">
        <f ca="1">OFFSET(DSUCV!$Y$3,MATCH(Mau27!F115,DSUCV!$B$4:$B$61,),)</f>
        <v>0.00042496</v>
      </c>
      <c r="J115" s="450"/>
      <c r="K115" s="442" t="e">
        <f ca="1">OFFSET(DSUCV!$Y$3,MATCH(Mau27!F115,DSUCV!$B$4:$B$61,),1)</f>
        <v>#DIV/0!</v>
      </c>
      <c r="L115" s="443"/>
      <c r="M115" s="123"/>
      <c r="N115" s="93">
        <v>9</v>
      </c>
    </row>
    <row r="116" spans="1:14" ht="18.75" customHeight="1">
      <c r="A116" s="439"/>
      <c r="B116" s="440"/>
      <c r="C116" s="440"/>
      <c r="D116" s="440"/>
      <c r="E116" s="441"/>
      <c r="F116" s="462" t="str">
        <f ca="1">IF(COUNTIF($N$49:N116,N116)&gt;VLOOKUP(N116,TTinDV!$A$6:$E$14,5,),"",OFFSET(DSUCV!$B$3,MATCH(Mau27!N116,DSUCV!$C$4:$C$61,)+COUNTIF($N$49:N116,N116)-1,))</f>
        <v>UV A41</v>
      </c>
      <c r="G116" s="463"/>
      <c r="H116" s="464"/>
      <c r="I116" s="449">
        <f ca="1">OFFSET(DSUCV!$Y$3,MATCH(Mau27!F116,DSUCV!$B$4:$B$61,),)</f>
        <v>0.00042496</v>
      </c>
      <c r="J116" s="450"/>
      <c r="K116" s="442" t="e">
        <f ca="1">OFFSET(DSUCV!$Y$3,MATCH(Mau27!F116,DSUCV!$B$4:$B$61,),1)</f>
        <v>#DIV/0!</v>
      </c>
      <c r="L116" s="443"/>
      <c r="M116" s="123"/>
      <c r="N116" s="93">
        <v>9</v>
      </c>
    </row>
    <row r="117" spans="1:14" ht="18.75" customHeight="1">
      <c r="A117" s="439"/>
      <c r="B117" s="440"/>
      <c r="C117" s="440"/>
      <c r="D117" s="440"/>
      <c r="E117" s="441"/>
      <c r="F117" s="462" t="str">
        <f ca="1">IF(COUNTIF($N$49:N117,N117)&gt;VLOOKUP(N117,TTinDV!$A$6:$E$14,5,),"",OFFSET(DSUCV!$B$3,MATCH(Mau27!N117,DSUCV!$C$4:$C$61,)+COUNTIF($N$49:N117,N117)-1,))</f>
        <v>UV A42</v>
      </c>
      <c r="G117" s="463"/>
      <c r="H117" s="464"/>
      <c r="I117" s="449">
        <f ca="1">OFFSET(DSUCV!$Y$3,MATCH(Mau27!F117,DSUCV!$B$4:$B$61,),)</f>
        <v>0.00042496</v>
      </c>
      <c r="J117" s="450"/>
      <c r="K117" s="442" t="e">
        <f ca="1">OFFSET(DSUCV!$Y$3,MATCH(Mau27!F117,DSUCV!$B$4:$B$61,),1)</f>
        <v>#DIV/0!</v>
      </c>
      <c r="L117" s="443"/>
      <c r="M117" s="123"/>
      <c r="N117" s="93">
        <v>9</v>
      </c>
    </row>
    <row r="118" spans="1:14" ht="18.75" customHeight="1">
      <c r="A118" s="439"/>
      <c r="B118" s="440"/>
      <c r="C118" s="440"/>
      <c r="D118" s="440"/>
      <c r="E118" s="441"/>
      <c r="F118" s="462">
        <f ca="1">IF(COUNTIF($N$49:N118,N118)&gt;VLOOKUP(N118,TTinDV!$A$6:$E$14,5,),"",OFFSET(DSUCV!$B$3,MATCH(Mau27!N118,DSUCV!$C$4:$C$61,)+COUNTIF($N$49:N118,N118)-1,))</f>
      </c>
      <c r="G118" s="463"/>
      <c r="H118" s="464"/>
      <c r="I118" s="449" t="e">
        <f ca="1">OFFSET(DSUCV!$Y$3,MATCH(Mau27!F118,DSUCV!$B$4:$B$61,),)</f>
        <v>#N/A</v>
      </c>
      <c r="J118" s="450"/>
      <c r="K118" s="442" t="e">
        <f ca="1">OFFSET(DSUCV!$Y$3,MATCH(Mau27!F118,DSUCV!$B$4:$B$61,),1)</f>
        <v>#N/A</v>
      </c>
      <c r="L118" s="443"/>
      <c r="M118" s="123"/>
      <c r="N118" s="93">
        <v>9</v>
      </c>
    </row>
    <row r="119" spans="1:14" ht="18.75" customHeight="1">
      <c r="A119" s="439"/>
      <c r="B119" s="440"/>
      <c r="C119" s="440"/>
      <c r="D119" s="440"/>
      <c r="E119" s="441"/>
      <c r="F119" s="462">
        <f ca="1">IF(COUNTIF($N$49:N119,N119)&gt;VLOOKUP(N119,TTinDV!$A$6:$E$14,5,),"",OFFSET(DSUCV!$B$3,MATCH(Mau27!N119,DSUCV!$C$4:$C$61,)+COUNTIF($N$49:N119,N119)-1,))</f>
      </c>
      <c r="G119" s="463"/>
      <c r="H119" s="464"/>
      <c r="I119" s="449" t="e">
        <f ca="1">OFFSET(DSUCV!$Y$3,MATCH(Mau27!F119,DSUCV!$B$4:$B$61,),)</f>
        <v>#N/A</v>
      </c>
      <c r="J119" s="450"/>
      <c r="K119" s="442" t="e">
        <f ca="1">OFFSET(DSUCV!$Y$3,MATCH(Mau27!F119,DSUCV!$B$4:$B$61,),1)</f>
        <v>#N/A</v>
      </c>
      <c r="L119" s="443"/>
      <c r="M119" s="123"/>
      <c r="N119" s="93">
        <v>9</v>
      </c>
    </row>
    <row r="120" spans="1:14" ht="18.75" customHeight="1">
      <c r="A120" s="417"/>
      <c r="B120" s="418"/>
      <c r="C120" s="418"/>
      <c r="D120" s="418"/>
      <c r="E120" s="419"/>
      <c r="F120" s="462">
        <f ca="1">IF(COUNTIF($N$49:N120,N120)&gt;VLOOKUP(N120,TTinDV!$A$6:$E$14,5,),"",OFFSET(DSUCV!$B$3,MATCH(Mau27!N120,DSUCV!$C$4:$C$61,)+COUNTIF($N$49:N120,N120)-1,))</f>
      </c>
      <c r="G120" s="463"/>
      <c r="H120" s="464"/>
      <c r="I120" s="449" t="e">
        <f ca="1">OFFSET(DSUCV!$Y$3,MATCH(Mau27!F120,DSUCV!$B$4:$B$61,),)</f>
        <v>#N/A</v>
      </c>
      <c r="J120" s="450"/>
      <c r="K120" s="442" t="e">
        <f ca="1">OFFSET(DSUCV!$Y$3,MATCH(Mau27!F120,DSUCV!$B$4:$B$61,),1)</f>
        <v>#N/A</v>
      </c>
      <c r="L120" s="443"/>
      <c r="M120" s="126"/>
      <c r="N120" s="93">
        <v>9</v>
      </c>
    </row>
    <row r="121" spans="1:13" s="121" customFormat="1" ht="37.5" customHeight="1">
      <c r="A121" s="444" t="s">
        <v>338</v>
      </c>
      <c r="B121" s="444"/>
      <c r="C121" s="444"/>
      <c r="D121" s="444"/>
      <c r="E121" s="444"/>
      <c r="F121" s="444"/>
      <c r="G121" s="444"/>
      <c r="H121" s="444"/>
      <c r="I121" s="444"/>
      <c r="J121" s="444"/>
      <c r="K121" s="444"/>
      <c r="L121" s="444"/>
      <c r="M121" s="444"/>
    </row>
    <row r="122" spans="1:13" ht="48.75" customHeight="1">
      <c r="A122" s="451" t="s">
        <v>326</v>
      </c>
      <c r="B122" s="452"/>
      <c r="C122" s="452"/>
      <c r="D122" s="452"/>
      <c r="E122" s="453"/>
      <c r="F122" s="451" t="s">
        <v>325</v>
      </c>
      <c r="G122" s="452"/>
      <c r="H122" s="453"/>
      <c r="I122" s="451" t="s">
        <v>324</v>
      </c>
      <c r="J122" s="453"/>
      <c r="K122" s="451" t="s">
        <v>323</v>
      </c>
      <c r="L122" s="453"/>
      <c r="M122" s="113" t="s">
        <v>245</v>
      </c>
    </row>
    <row r="123" spans="1:14" ht="18.75" customHeight="1">
      <c r="A123" s="454" t="s">
        <v>337</v>
      </c>
      <c r="B123" s="455"/>
      <c r="C123" s="455"/>
      <c r="D123" s="455"/>
      <c r="E123" s="456"/>
      <c r="F123" s="446" t="str">
        <f ca="1">IF(COUNTIF($N$123:N123,N123)&gt;VLOOKUP(N123,TTinDV!$A$6:$E$14,5,),"",OFFSET(DSUCV!$B$3,MATCH(Mau27!N123,DSUCV!$C$4:$C$61,)+COUNTIF($N$123:N123,N123)-1,))</f>
        <v>Hoang BooKi</v>
      </c>
      <c r="G123" s="447"/>
      <c r="H123" s="448"/>
      <c r="I123" s="449">
        <f ca="1">OFFSET(DSUCV!$Y$3,MATCH(Mau27!F123,DSUCV!$B$4:$B$61,),)</f>
        <v>0.00042496</v>
      </c>
      <c r="J123" s="450"/>
      <c r="K123" s="442" t="e">
        <f ca="1">OFFSET(DSUCV!$Y$3,MATCH(Mau27!F123,DSUCV!$B$4:$B$61,),1)</f>
        <v>#DIV/0!</v>
      </c>
      <c r="L123" s="443"/>
      <c r="M123" s="94" t="str">
        <f ca="1">IF(ISNUMBER(OFFSET(DSUCV!$Y$3,MATCH(Mau27!F123,DSUCV!$B$4:$B$61,),3)),"","Không trúng cử")</f>
        <v>Không trúng cử</v>
      </c>
      <c r="N123" s="93">
        <v>1</v>
      </c>
    </row>
    <row r="124" spans="1:14" ht="18.75" customHeight="1">
      <c r="A124" s="439" t="s">
        <v>321</v>
      </c>
      <c r="B124" s="440"/>
      <c r="C124" s="440"/>
      <c r="D124" s="440"/>
      <c r="E124" s="441"/>
      <c r="F124" s="446" t="str">
        <f ca="1">IF(COUNTIF($N$123:N124,N124)&gt;VLOOKUP(N124,TTinDV!$A$6:$E$14,5,),"",OFFSET(DSUCV!$B$3,MATCH(Mau27!N124,DSUCV!$C$4:$C$61,)+COUNTIF($N$123:N124,N124)-1,))</f>
        <v>Trấn B</v>
      </c>
      <c r="G124" s="447"/>
      <c r="H124" s="448"/>
      <c r="I124" s="449">
        <f ca="1">OFFSET(DSUCV!$Y$3,MATCH(Mau27!F124,DSUCV!$B$4:$B$61,),)</f>
        <v>0.00042496</v>
      </c>
      <c r="J124" s="450"/>
      <c r="K124" s="442" t="e">
        <f ca="1">OFFSET(DSUCV!$Y$3,MATCH(Mau27!F124,DSUCV!$B$4:$B$61,),1)</f>
        <v>#DIV/0!</v>
      </c>
      <c r="L124" s="443"/>
      <c r="M124" s="94" t="str">
        <f ca="1">IF(ISNUMBER(OFFSET(DSUCV!$Y$3,MATCH(Mau27!F124,DSUCV!$B$4:$B$61,),3)),"","Không trúng cử")</f>
        <v>Không trúng cử</v>
      </c>
      <c r="N124" s="93">
        <v>1</v>
      </c>
    </row>
    <row r="125" spans="1:14" ht="18.75" customHeight="1">
      <c r="A125" s="439"/>
      <c r="B125" s="440"/>
      <c r="C125" s="440"/>
      <c r="D125" s="440"/>
      <c r="E125" s="441"/>
      <c r="F125" s="446" t="str">
        <f ca="1">IF(COUNTIF($N$123:N125,N125)&gt;VLOOKUP(N125,TTinDV!$A$6:$E$14,5,),"",OFFSET(DSUCV!$B$3,MATCH(Mau27!N125,DSUCV!$C$4:$C$61,)+COUNTIF($N$123:N125,N125)-1,))</f>
        <v>Hồ C</v>
      </c>
      <c r="G125" s="447"/>
      <c r="H125" s="448"/>
      <c r="I125" s="449">
        <f ca="1">OFFSET(DSUCV!$Y$3,MATCH(Mau27!F125,DSUCV!$B$4:$B$61,),)</f>
        <v>0.00042496</v>
      </c>
      <c r="J125" s="450"/>
      <c r="K125" s="442" t="e">
        <f ca="1">OFFSET(DSUCV!$Y$3,MATCH(Mau27!F125,DSUCV!$B$4:$B$61,),1)</f>
        <v>#DIV/0!</v>
      </c>
      <c r="L125" s="443"/>
      <c r="M125" s="94" t="str">
        <f ca="1">IF(ISNUMBER(OFFSET(DSUCV!$Y$3,MATCH(Mau27!F125,DSUCV!$B$4:$B$61,),3)),"","Không trúng cử")</f>
        <v>Không trúng cử</v>
      </c>
      <c r="N125" s="93">
        <v>1</v>
      </c>
    </row>
    <row r="126" spans="1:14" ht="18.75" customHeight="1">
      <c r="A126" s="439"/>
      <c r="B126" s="440"/>
      <c r="C126" s="440"/>
      <c r="D126" s="440"/>
      <c r="E126" s="441"/>
      <c r="F126" s="446">
        <f ca="1">IF(COUNTIF($N$123:N126,N126)&gt;VLOOKUP(N126,TTinDV!$A$6:$E$14,5,),"",OFFSET(DSUCV!$B$3,MATCH(Mau27!N126,DSUCV!$C$4:$C$61,)+COUNTIF($N$123:N126,N126)-1,))</f>
      </c>
      <c r="G126" s="447"/>
      <c r="H126" s="448"/>
      <c r="I126" s="449" t="e">
        <f ca="1">OFFSET(DSUCV!$Y$3,MATCH(Mau27!F126,DSUCV!$B$4:$B$61,),)</f>
        <v>#N/A</v>
      </c>
      <c r="J126" s="450"/>
      <c r="K126" s="442" t="e">
        <f ca="1">OFFSET(DSUCV!$Y$3,MATCH(Mau27!F126,DSUCV!$B$4:$B$61,),1)</f>
        <v>#N/A</v>
      </c>
      <c r="L126" s="443"/>
      <c r="M126" s="94" t="str">
        <f ca="1">IF(ISNUMBER(OFFSET(DSUCV!$Y$3,MATCH(Mau27!F126,DSUCV!$B$4:$B$61,),3)),"","Không trúng cử")</f>
        <v>Không trúng cử</v>
      </c>
      <c r="N126" s="93">
        <v>1</v>
      </c>
    </row>
    <row r="127" spans="1:14" ht="18.75" customHeight="1">
      <c r="A127" s="439"/>
      <c r="B127" s="440"/>
      <c r="C127" s="440"/>
      <c r="D127" s="440"/>
      <c r="E127" s="441"/>
      <c r="F127" s="446">
        <f ca="1">IF(COUNTIF($N$123:N127,N127)&gt;VLOOKUP(N127,TTinDV!$A$6:$E$14,5,),"",OFFSET(DSUCV!$B$3,MATCH(Mau27!N127,DSUCV!$C$4:$C$61,)+COUNTIF($N$123:N127,N127)-1,))</f>
      </c>
      <c r="G127" s="447"/>
      <c r="H127" s="448"/>
      <c r="I127" s="449" t="e">
        <f ca="1">OFFSET(DSUCV!$Y$3,MATCH(Mau27!F127,DSUCV!$B$4:$B$61,),)</f>
        <v>#N/A</v>
      </c>
      <c r="J127" s="450"/>
      <c r="K127" s="442" t="e">
        <f ca="1">OFFSET(DSUCV!$Y$3,MATCH(Mau27!F127,DSUCV!$B$4:$B$61,),1)</f>
        <v>#N/A</v>
      </c>
      <c r="L127" s="443"/>
      <c r="M127" s="94" t="str">
        <f ca="1">IF(ISNUMBER(OFFSET(DSUCV!$Y$3,MATCH(Mau27!F127,DSUCV!$B$4:$B$61,),3)),"","Không trúng cử")</f>
        <v>Không trúng cử</v>
      </c>
      <c r="N127" s="93">
        <v>1</v>
      </c>
    </row>
    <row r="128" spans="1:14" ht="18.75" customHeight="1">
      <c r="A128" s="439"/>
      <c r="B128" s="440"/>
      <c r="C128" s="440"/>
      <c r="D128" s="440"/>
      <c r="E128" s="441"/>
      <c r="F128" s="446">
        <f ca="1">IF(COUNTIF($N$123:N128,N128)&gt;VLOOKUP(N128,TTinDV!$A$6:$E$14,5,),"",OFFSET(DSUCV!$B$3,MATCH(Mau27!N128,DSUCV!$C$4:$C$61,)+COUNTIF($N$123:N128,N128)-1,))</f>
      </c>
      <c r="G128" s="447"/>
      <c r="H128" s="448"/>
      <c r="I128" s="449" t="e">
        <f ca="1">OFFSET(DSUCV!$Y$3,MATCH(Mau27!F128,DSUCV!$B$4:$B$61,),)</f>
        <v>#N/A</v>
      </c>
      <c r="J128" s="450"/>
      <c r="K128" s="442" t="e">
        <f ca="1">OFFSET(DSUCV!$Y$3,MATCH(Mau27!F128,DSUCV!$B$4:$B$61,),1)</f>
        <v>#N/A</v>
      </c>
      <c r="L128" s="443"/>
      <c r="M128" s="94" t="str">
        <f ca="1">IF(ISNUMBER(OFFSET(DSUCV!$Y$3,MATCH(Mau27!F128,DSUCV!$B$4:$B$61,),3)),"","Không trúng cử")</f>
        <v>Không trúng cử</v>
      </c>
      <c r="N128" s="93">
        <v>1</v>
      </c>
    </row>
    <row r="129" spans="1:14" ht="18.75" customHeight="1">
      <c r="A129" s="439"/>
      <c r="B129" s="440"/>
      <c r="C129" s="440"/>
      <c r="D129" s="440"/>
      <c r="E129" s="441"/>
      <c r="F129" s="446">
        <f ca="1">IF(COUNTIF($N$123:N129,N129)&gt;VLOOKUP(N129,TTinDV!$A$6:$E$14,5,),"",OFFSET(DSUCV!$B$3,MATCH(Mau27!N129,DSUCV!$C$4:$C$61,)+COUNTIF($N$123:N129,N129)-1,))</f>
      </c>
      <c r="G129" s="447"/>
      <c r="H129" s="448"/>
      <c r="I129" s="449" t="e">
        <f ca="1">OFFSET(DSUCV!$Y$3,MATCH(Mau27!F129,DSUCV!$B$4:$B$61,),)</f>
        <v>#N/A</v>
      </c>
      <c r="J129" s="450"/>
      <c r="K129" s="442" t="e">
        <f ca="1">OFFSET(DSUCV!$Y$3,MATCH(Mau27!F129,DSUCV!$B$4:$B$61,),1)</f>
        <v>#N/A</v>
      </c>
      <c r="L129" s="443"/>
      <c r="M129" s="94" t="str">
        <f ca="1">IF(ISNUMBER(OFFSET(DSUCV!$Y$3,MATCH(Mau27!F129,DSUCV!$B$4:$B$61,),3)),"","Không trúng cử")</f>
        <v>Không trúng cử</v>
      </c>
      <c r="N129" s="93">
        <v>1</v>
      </c>
    </row>
    <row r="130" spans="1:14" ht="18.75" customHeight="1">
      <c r="A130" s="417"/>
      <c r="B130" s="418"/>
      <c r="C130" s="418"/>
      <c r="D130" s="418"/>
      <c r="E130" s="419"/>
      <c r="F130" s="446">
        <f ca="1">IF(COUNTIF($N$123:N130,N130)&gt;VLOOKUP(N130,TTinDV!$A$6:$E$14,5,),"",OFFSET(DSUCV!$B$3,MATCH(Mau27!N130,DSUCV!$C$4:$C$61,)+COUNTIF($N$123:N130,N130)-1,))</f>
      </c>
      <c r="G130" s="447"/>
      <c r="H130" s="448"/>
      <c r="I130" s="449" t="e">
        <f ca="1">OFFSET(DSUCV!$Y$3,MATCH(Mau27!F130,DSUCV!$B$4:$B$61,),)</f>
        <v>#N/A</v>
      </c>
      <c r="J130" s="450"/>
      <c r="K130" s="442" t="e">
        <f ca="1">OFFSET(DSUCV!$Y$3,MATCH(Mau27!F130,DSUCV!$B$4:$B$61,),1)</f>
        <v>#N/A</v>
      </c>
      <c r="L130" s="443"/>
      <c r="M130" s="94" t="str">
        <f ca="1">IF(ISNUMBER(OFFSET(DSUCV!$Y$3,MATCH(Mau27!F130,DSUCV!$B$4:$B$61,),3)),"","Không trúng cử")</f>
        <v>Không trúng cử</v>
      </c>
      <c r="N130" s="93">
        <v>1</v>
      </c>
    </row>
    <row r="131" spans="1:14" ht="18.75" customHeight="1">
      <c r="A131" s="454" t="s">
        <v>336</v>
      </c>
      <c r="B131" s="455"/>
      <c r="C131" s="455"/>
      <c r="D131" s="455"/>
      <c r="E131" s="456"/>
      <c r="F131" s="446" t="str">
        <f ca="1">IF(COUNTIF($N$123:N131,N131)&gt;VLOOKUP(N131,TTinDV!$A$6:$E$14,5,),"",OFFSET(DSUCV!$B$3,MATCH(Mau27!N131,DSUCV!$C$4:$C$61,)+COUNTIF($N$123:N131,N131)-1,))</f>
        <v>UV A1</v>
      </c>
      <c r="G131" s="447"/>
      <c r="H131" s="448"/>
      <c r="I131" s="449">
        <f ca="1">OFFSET(DSUCV!$Y$3,MATCH(Mau27!F131,DSUCV!$B$4:$B$61,),)</f>
        <v>0.00042496</v>
      </c>
      <c r="J131" s="450"/>
      <c r="K131" s="442" t="e">
        <f ca="1">OFFSET(DSUCV!$Y$3,MATCH(Mau27!F131,DSUCV!$B$4:$B$61,),1)</f>
        <v>#DIV/0!</v>
      </c>
      <c r="L131" s="443"/>
      <c r="M131" s="94" t="str">
        <f ca="1">IF(ISNUMBER(OFFSET(DSUCV!$Y$3,MATCH(Mau27!F131,DSUCV!$B$4:$B$61,),3)),"","Không trúng cử")</f>
        <v>Không trúng cử</v>
      </c>
      <c r="N131" s="93">
        <v>2</v>
      </c>
    </row>
    <row r="132" spans="1:14" ht="18.75" customHeight="1">
      <c r="A132" s="439" t="s">
        <v>321</v>
      </c>
      <c r="B132" s="440"/>
      <c r="C132" s="440"/>
      <c r="D132" s="440"/>
      <c r="E132" s="441"/>
      <c r="F132" s="446" t="str">
        <f ca="1">IF(COUNTIF($N$123:N132,N132)&gt;VLOOKUP(N132,TTinDV!$A$6:$E$14,5,),"",OFFSET(DSUCV!$B$3,MATCH(Mau27!N132,DSUCV!$C$4:$C$61,)+COUNTIF($N$123:N132,N132)-1,))</f>
        <v>UV A2</v>
      </c>
      <c r="G132" s="447"/>
      <c r="H132" s="448"/>
      <c r="I132" s="449">
        <f ca="1">OFFSET(DSUCV!$Y$3,MATCH(Mau27!F132,DSUCV!$B$4:$B$61,),)</f>
        <v>0.00042496</v>
      </c>
      <c r="J132" s="450"/>
      <c r="K132" s="442" t="e">
        <f ca="1">OFFSET(DSUCV!$Y$3,MATCH(Mau27!F132,DSUCV!$B$4:$B$61,),1)</f>
        <v>#DIV/0!</v>
      </c>
      <c r="L132" s="443"/>
      <c r="M132" s="94" t="str">
        <f ca="1">IF(ISNUMBER(OFFSET(DSUCV!$Y$3,MATCH(Mau27!F132,DSUCV!$B$4:$B$61,),3)),"","Không trúng cử")</f>
        <v>Không trúng cử</v>
      </c>
      <c r="N132" s="93">
        <v>2</v>
      </c>
    </row>
    <row r="133" spans="1:14" ht="18.75" customHeight="1">
      <c r="A133" s="439"/>
      <c r="B133" s="440"/>
      <c r="C133" s="440"/>
      <c r="D133" s="440"/>
      <c r="E133" s="441"/>
      <c r="F133" s="446" t="str">
        <f ca="1">IF(COUNTIF($N$123:N133,N133)&gt;VLOOKUP(N133,TTinDV!$A$6:$E$14,5,),"",OFFSET(DSUCV!$B$3,MATCH(Mau27!N133,DSUCV!$C$4:$C$61,)+COUNTIF($N$123:N133,N133)-1,))</f>
        <v>UV A3</v>
      </c>
      <c r="G133" s="447"/>
      <c r="H133" s="448"/>
      <c r="I133" s="449">
        <f ca="1">OFFSET(DSUCV!$Y$3,MATCH(Mau27!F133,DSUCV!$B$4:$B$61,),)</f>
        <v>0.00042496</v>
      </c>
      <c r="J133" s="450"/>
      <c r="K133" s="442" t="e">
        <f ca="1">OFFSET(DSUCV!$Y$3,MATCH(Mau27!F133,DSUCV!$B$4:$B$61,),1)</f>
        <v>#DIV/0!</v>
      </c>
      <c r="L133" s="443"/>
      <c r="M133" s="94" t="str">
        <f ca="1">IF(ISNUMBER(OFFSET(DSUCV!$Y$3,MATCH(Mau27!F133,DSUCV!$B$4:$B$61,),3)),"","Không trúng cử")</f>
        <v>Không trúng cử</v>
      </c>
      <c r="N133" s="93">
        <v>2</v>
      </c>
    </row>
    <row r="134" spans="1:14" ht="18.75" customHeight="1">
      <c r="A134" s="439"/>
      <c r="B134" s="440"/>
      <c r="C134" s="440"/>
      <c r="D134" s="440"/>
      <c r="E134" s="441"/>
      <c r="F134" s="446" t="str">
        <f ca="1">IF(COUNTIF($N$123:N134,N134)&gt;VLOOKUP(N134,TTinDV!$A$6:$E$14,5,),"",OFFSET(DSUCV!$B$3,MATCH(Mau27!N134,DSUCV!$C$4:$C$61,)+COUNTIF($N$123:N134,N134)-1,))</f>
        <v>UV A4</v>
      </c>
      <c r="G134" s="447"/>
      <c r="H134" s="448"/>
      <c r="I134" s="449">
        <f ca="1">OFFSET(DSUCV!$Y$3,MATCH(Mau27!F134,DSUCV!$B$4:$B$61,),)</f>
        <v>0.00042496</v>
      </c>
      <c r="J134" s="450"/>
      <c r="K134" s="442" t="e">
        <f ca="1">OFFSET(DSUCV!$Y$3,MATCH(Mau27!F134,DSUCV!$B$4:$B$61,),1)</f>
        <v>#DIV/0!</v>
      </c>
      <c r="L134" s="443"/>
      <c r="M134" s="94" t="str">
        <f ca="1">IF(ISNUMBER(OFFSET(DSUCV!$Y$3,MATCH(Mau27!F134,DSUCV!$B$4:$B$61,),3)),"","Không trúng cử")</f>
        <v>Không trúng cử</v>
      </c>
      <c r="N134" s="93">
        <v>2</v>
      </c>
    </row>
    <row r="135" spans="1:14" ht="18.75" customHeight="1">
      <c r="A135" s="439"/>
      <c r="B135" s="440"/>
      <c r="C135" s="440"/>
      <c r="D135" s="440"/>
      <c r="E135" s="441"/>
      <c r="F135" s="446" t="str">
        <f ca="1">IF(COUNTIF($N$123:N135,N135)&gt;VLOOKUP(N135,TTinDV!$A$6:$E$14,5,),"",OFFSET(DSUCV!$B$3,MATCH(Mau27!N135,DSUCV!$C$4:$C$61,)+COUNTIF($N$123:N135,N135)-1,))</f>
        <v>UV A5</v>
      </c>
      <c r="G135" s="447"/>
      <c r="H135" s="448"/>
      <c r="I135" s="449">
        <f ca="1">OFFSET(DSUCV!$Y$3,MATCH(Mau27!F135,DSUCV!$B$4:$B$61,),)</f>
        <v>0.00042496</v>
      </c>
      <c r="J135" s="450"/>
      <c r="K135" s="442" t="e">
        <f ca="1">OFFSET(DSUCV!$Y$3,MATCH(Mau27!F135,DSUCV!$B$4:$B$61,),1)</f>
        <v>#DIV/0!</v>
      </c>
      <c r="L135" s="443"/>
      <c r="M135" s="94" t="str">
        <f ca="1">IF(ISNUMBER(OFFSET(DSUCV!$Y$3,MATCH(Mau27!F135,DSUCV!$B$4:$B$61,),3)),"","Không trúng cử")</f>
        <v>Không trúng cử</v>
      </c>
      <c r="N135" s="93">
        <v>2</v>
      </c>
    </row>
    <row r="136" spans="1:14" ht="18.75" customHeight="1">
      <c r="A136" s="439"/>
      <c r="B136" s="440"/>
      <c r="C136" s="440"/>
      <c r="D136" s="440"/>
      <c r="E136" s="441"/>
      <c r="F136" s="446">
        <f ca="1">IF(COUNTIF($N$123:N136,N136)&gt;VLOOKUP(N136,TTinDV!$A$6:$E$14,5,),"",OFFSET(DSUCV!$B$3,MATCH(Mau27!N136,DSUCV!$C$4:$C$61,)+COUNTIF($N$123:N136,N136)-1,))</f>
      </c>
      <c r="G136" s="447"/>
      <c r="H136" s="448"/>
      <c r="I136" s="449" t="e">
        <f ca="1">OFFSET(DSUCV!$Y$3,MATCH(Mau27!F136,DSUCV!$B$4:$B$61,),)</f>
        <v>#N/A</v>
      </c>
      <c r="J136" s="450"/>
      <c r="K136" s="442" t="e">
        <f ca="1">OFFSET(DSUCV!$Y$3,MATCH(Mau27!F136,DSUCV!$B$4:$B$61,),1)</f>
        <v>#N/A</v>
      </c>
      <c r="L136" s="443"/>
      <c r="M136" s="94" t="str">
        <f ca="1">IF(ISNUMBER(OFFSET(DSUCV!$Y$3,MATCH(Mau27!F136,DSUCV!$B$4:$B$61,),3)),"","Không trúng cử")</f>
        <v>Không trúng cử</v>
      </c>
      <c r="N136" s="93">
        <v>2</v>
      </c>
    </row>
    <row r="137" spans="1:14" ht="18.75" customHeight="1">
      <c r="A137" s="439"/>
      <c r="B137" s="440"/>
      <c r="C137" s="440"/>
      <c r="D137" s="440"/>
      <c r="E137" s="441"/>
      <c r="F137" s="446">
        <f ca="1">IF(COUNTIF($N$123:N137,N137)&gt;VLOOKUP(N137,TTinDV!$A$6:$E$14,5,),"",OFFSET(DSUCV!$B$3,MATCH(Mau27!N137,DSUCV!$C$4:$C$61,)+COUNTIF($N$123:N137,N137)-1,))</f>
      </c>
      <c r="G137" s="447"/>
      <c r="H137" s="448"/>
      <c r="I137" s="449" t="e">
        <f ca="1">OFFSET(DSUCV!$Y$3,MATCH(Mau27!F137,DSUCV!$B$4:$B$61,),)</f>
        <v>#N/A</v>
      </c>
      <c r="J137" s="450"/>
      <c r="K137" s="442" t="e">
        <f ca="1">OFFSET(DSUCV!$Y$3,MATCH(Mau27!F137,DSUCV!$B$4:$B$61,),1)</f>
        <v>#N/A</v>
      </c>
      <c r="L137" s="443"/>
      <c r="M137" s="94" t="str">
        <f ca="1">IF(ISNUMBER(OFFSET(DSUCV!$Y$3,MATCH(Mau27!F137,DSUCV!$B$4:$B$61,),3)),"","Không trúng cử")</f>
        <v>Không trúng cử</v>
      </c>
      <c r="N137" s="93">
        <v>2</v>
      </c>
    </row>
    <row r="138" spans="1:14" ht="18.75" customHeight="1">
      <c r="A138" s="417"/>
      <c r="B138" s="418"/>
      <c r="C138" s="418"/>
      <c r="D138" s="418"/>
      <c r="E138" s="419"/>
      <c r="F138" s="446">
        <f ca="1">IF(COUNTIF($N$123:N138,N138)&gt;VLOOKUP(N138,TTinDV!$A$6:$E$14,5,),"",OFFSET(DSUCV!$B$3,MATCH(Mau27!N138,DSUCV!$C$4:$C$61,)+COUNTIF($N$123:N138,N138)-1,))</f>
      </c>
      <c r="G138" s="447"/>
      <c r="H138" s="448"/>
      <c r="I138" s="449" t="e">
        <f ca="1">OFFSET(DSUCV!$Y$3,MATCH(Mau27!F138,DSUCV!$B$4:$B$61,),)</f>
        <v>#N/A</v>
      </c>
      <c r="J138" s="450"/>
      <c r="K138" s="442" t="e">
        <f ca="1">OFFSET(DSUCV!$Y$3,MATCH(Mau27!F138,DSUCV!$B$4:$B$61,),1)</f>
        <v>#N/A</v>
      </c>
      <c r="L138" s="443"/>
      <c r="M138" s="94" t="str">
        <f ca="1">IF(ISNUMBER(OFFSET(DSUCV!$Y$3,MATCH(Mau27!F138,DSUCV!$B$4:$B$61,),3)),"","Không trúng cử")</f>
        <v>Không trúng cử</v>
      </c>
      <c r="N138" s="93">
        <v>2</v>
      </c>
    </row>
    <row r="139" spans="1:14" ht="18.75" customHeight="1">
      <c r="A139" s="454" t="s">
        <v>335</v>
      </c>
      <c r="B139" s="455"/>
      <c r="C139" s="455"/>
      <c r="D139" s="455"/>
      <c r="E139" s="456"/>
      <c r="F139" s="446" t="str">
        <f ca="1">IF(COUNTIF($N$123:N139,N139)&gt;VLOOKUP(N139,TTinDV!$A$6:$E$14,5,),"",OFFSET(DSUCV!$B$3,MATCH(Mau27!N139,DSUCV!$C$4:$C$61,)+COUNTIF($N$123:N139,N139)-1,))</f>
        <v>UV A6</v>
      </c>
      <c r="G139" s="447"/>
      <c r="H139" s="448"/>
      <c r="I139" s="449">
        <f ca="1">OFFSET(DSUCV!$Y$3,MATCH(Mau27!F139,DSUCV!$B$4:$B$61,),)</f>
        <v>0.00042496</v>
      </c>
      <c r="J139" s="450"/>
      <c r="K139" s="442" t="e">
        <f ca="1">OFFSET(DSUCV!$Y$3,MATCH(Mau27!F139,DSUCV!$B$4:$B$61,),1)</f>
        <v>#DIV/0!</v>
      </c>
      <c r="L139" s="443"/>
      <c r="M139" s="94" t="str">
        <f ca="1">IF(ISNUMBER(OFFSET(DSUCV!$Y$3,MATCH(Mau27!F139,DSUCV!$B$4:$B$61,),3)),"","Không trúng cử")</f>
        <v>Không trúng cử</v>
      </c>
      <c r="N139" s="93">
        <v>3</v>
      </c>
    </row>
    <row r="140" spans="1:14" ht="18.75" customHeight="1">
      <c r="A140" s="439" t="s">
        <v>321</v>
      </c>
      <c r="B140" s="440"/>
      <c r="C140" s="440"/>
      <c r="D140" s="440"/>
      <c r="E140" s="441"/>
      <c r="F140" s="446" t="str">
        <f ca="1">IF(COUNTIF($N$123:N140,N140)&gt;VLOOKUP(N140,TTinDV!$A$6:$E$14,5,),"",OFFSET(DSUCV!$B$3,MATCH(Mau27!N140,DSUCV!$C$4:$C$61,)+COUNTIF($N$123:N140,N140)-1,))</f>
        <v>UV A7</v>
      </c>
      <c r="G140" s="447"/>
      <c r="H140" s="448"/>
      <c r="I140" s="449">
        <f ca="1">OFFSET(DSUCV!$Y$3,MATCH(Mau27!F140,DSUCV!$B$4:$B$61,),)</f>
        <v>0.00042496</v>
      </c>
      <c r="J140" s="450"/>
      <c r="K140" s="442" t="e">
        <f ca="1">OFFSET(DSUCV!$Y$3,MATCH(Mau27!F140,DSUCV!$B$4:$B$61,),1)</f>
        <v>#DIV/0!</v>
      </c>
      <c r="L140" s="443"/>
      <c r="M140" s="94" t="str">
        <f ca="1">IF(ISNUMBER(OFFSET(DSUCV!$Y$3,MATCH(Mau27!F140,DSUCV!$B$4:$B$61,),3)),"","Không trúng cử")</f>
        <v>Không trúng cử</v>
      </c>
      <c r="N140" s="93">
        <v>3</v>
      </c>
    </row>
    <row r="141" spans="1:14" ht="18.75" customHeight="1">
      <c r="A141" s="439"/>
      <c r="B141" s="440"/>
      <c r="C141" s="440"/>
      <c r="D141" s="440"/>
      <c r="E141" s="441"/>
      <c r="F141" s="446" t="str">
        <f ca="1">IF(COUNTIF($N$123:N141,N141)&gt;VLOOKUP(N141,TTinDV!$A$6:$E$14,5,),"",OFFSET(DSUCV!$B$3,MATCH(Mau27!N141,DSUCV!$C$4:$C$61,)+COUNTIF($N$123:N141,N141)-1,))</f>
        <v>UV A8</v>
      </c>
      <c r="G141" s="447"/>
      <c r="H141" s="448"/>
      <c r="I141" s="449">
        <f ca="1">OFFSET(DSUCV!$Y$3,MATCH(Mau27!F141,DSUCV!$B$4:$B$61,),)</f>
        <v>0.00042496</v>
      </c>
      <c r="J141" s="450"/>
      <c r="K141" s="442" t="e">
        <f ca="1">OFFSET(DSUCV!$Y$3,MATCH(Mau27!F141,DSUCV!$B$4:$B$61,),1)</f>
        <v>#DIV/0!</v>
      </c>
      <c r="L141" s="443"/>
      <c r="M141" s="94" t="str">
        <f ca="1">IF(ISNUMBER(OFFSET(DSUCV!$Y$3,MATCH(Mau27!F141,DSUCV!$B$4:$B$61,),3)),"","Không trúng cử")</f>
        <v>Không trúng cử</v>
      </c>
      <c r="N141" s="93">
        <v>3</v>
      </c>
    </row>
    <row r="142" spans="1:14" ht="18.75" customHeight="1">
      <c r="A142" s="439"/>
      <c r="B142" s="440"/>
      <c r="C142" s="440"/>
      <c r="D142" s="440"/>
      <c r="E142" s="441"/>
      <c r="F142" s="446" t="str">
        <f ca="1">IF(COUNTIF($N$123:N142,N142)&gt;VLOOKUP(N142,TTinDV!$A$6:$E$14,5,),"",OFFSET(DSUCV!$B$3,MATCH(Mau27!N142,DSUCV!$C$4:$C$61,)+COUNTIF($N$123:N142,N142)-1,))</f>
        <v>UV A9</v>
      </c>
      <c r="G142" s="447"/>
      <c r="H142" s="448"/>
      <c r="I142" s="449">
        <f ca="1">OFFSET(DSUCV!$Y$3,MATCH(Mau27!F142,DSUCV!$B$4:$B$61,),)</f>
        <v>0.00042496</v>
      </c>
      <c r="J142" s="450"/>
      <c r="K142" s="442" t="e">
        <f ca="1">OFFSET(DSUCV!$Y$3,MATCH(Mau27!F142,DSUCV!$B$4:$B$61,),1)</f>
        <v>#DIV/0!</v>
      </c>
      <c r="L142" s="443"/>
      <c r="M142" s="94" t="str">
        <f ca="1">IF(ISNUMBER(OFFSET(DSUCV!$Y$3,MATCH(Mau27!F142,DSUCV!$B$4:$B$61,),3)),"","Không trúng cử")</f>
        <v>Không trúng cử</v>
      </c>
      <c r="N142" s="93">
        <v>3</v>
      </c>
    </row>
    <row r="143" spans="1:14" ht="18.75" customHeight="1">
      <c r="A143" s="439"/>
      <c r="B143" s="440"/>
      <c r="C143" s="440"/>
      <c r="D143" s="440"/>
      <c r="E143" s="441"/>
      <c r="F143" s="446" t="str">
        <f ca="1">IF(COUNTIF($N$123:N143,N143)&gt;VLOOKUP(N143,TTinDV!$A$6:$E$14,5,),"",OFFSET(DSUCV!$B$3,MATCH(Mau27!N143,DSUCV!$C$4:$C$61,)+COUNTIF($N$123:N143,N143)-1,))</f>
        <v>UV A10</v>
      </c>
      <c r="G143" s="447"/>
      <c r="H143" s="448"/>
      <c r="I143" s="449">
        <f ca="1">OFFSET(DSUCV!$Y$3,MATCH(Mau27!F143,DSUCV!$B$4:$B$61,),)</f>
        <v>0.00042496</v>
      </c>
      <c r="J143" s="450"/>
      <c r="K143" s="442" t="e">
        <f ca="1">OFFSET(DSUCV!$Y$3,MATCH(Mau27!F143,DSUCV!$B$4:$B$61,),1)</f>
        <v>#DIV/0!</v>
      </c>
      <c r="L143" s="443"/>
      <c r="M143" s="94" t="str">
        <f ca="1">IF(ISNUMBER(OFFSET(DSUCV!$Y$3,MATCH(Mau27!F143,DSUCV!$B$4:$B$61,),3)),"","Không trúng cử")</f>
        <v>Không trúng cử</v>
      </c>
      <c r="N143" s="93">
        <v>3</v>
      </c>
    </row>
    <row r="144" spans="1:14" ht="18.75" customHeight="1">
      <c r="A144" s="439"/>
      <c r="B144" s="440"/>
      <c r="C144" s="440"/>
      <c r="D144" s="440"/>
      <c r="E144" s="441"/>
      <c r="F144" s="446">
        <f ca="1">IF(COUNTIF($N$123:N144,N144)&gt;VLOOKUP(N144,TTinDV!$A$6:$E$14,5,),"",OFFSET(DSUCV!$B$3,MATCH(Mau27!N144,DSUCV!$C$4:$C$61,)+COUNTIF($N$123:N144,N144)-1,))</f>
      </c>
      <c r="G144" s="447"/>
      <c r="H144" s="448"/>
      <c r="I144" s="449" t="e">
        <f ca="1">OFFSET(DSUCV!$Y$3,MATCH(Mau27!F144,DSUCV!$B$4:$B$61,),)</f>
        <v>#N/A</v>
      </c>
      <c r="J144" s="450"/>
      <c r="K144" s="442" t="e">
        <f ca="1">OFFSET(DSUCV!$Y$3,MATCH(Mau27!F144,DSUCV!$B$4:$B$61,),1)</f>
        <v>#N/A</v>
      </c>
      <c r="L144" s="443"/>
      <c r="M144" s="94" t="str">
        <f ca="1">IF(ISNUMBER(OFFSET(DSUCV!$Y$3,MATCH(Mau27!F144,DSUCV!$B$4:$B$61,),3)),"","Không trúng cử")</f>
        <v>Không trúng cử</v>
      </c>
      <c r="N144" s="93">
        <v>3</v>
      </c>
    </row>
    <row r="145" spans="1:14" ht="18.75" customHeight="1">
      <c r="A145" s="439"/>
      <c r="B145" s="440"/>
      <c r="C145" s="440"/>
      <c r="D145" s="440"/>
      <c r="E145" s="441"/>
      <c r="F145" s="446">
        <f ca="1">IF(COUNTIF($N$123:N145,N145)&gt;VLOOKUP(N145,TTinDV!$A$6:$E$14,5,),"",OFFSET(DSUCV!$B$3,MATCH(Mau27!N145,DSUCV!$C$4:$C$61,)+COUNTIF($N$123:N145,N145)-1,))</f>
      </c>
      <c r="G145" s="447"/>
      <c r="H145" s="448"/>
      <c r="I145" s="449" t="e">
        <f ca="1">OFFSET(DSUCV!$Y$3,MATCH(Mau27!F145,DSUCV!$B$4:$B$61,),)</f>
        <v>#N/A</v>
      </c>
      <c r="J145" s="450"/>
      <c r="K145" s="442" t="e">
        <f ca="1">OFFSET(DSUCV!$Y$3,MATCH(Mau27!F145,DSUCV!$B$4:$B$61,),1)</f>
        <v>#N/A</v>
      </c>
      <c r="L145" s="443"/>
      <c r="M145" s="94" t="str">
        <f ca="1">IF(ISNUMBER(OFFSET(DSUCV!$Y$3,MATCH(Mau27!F145,DSUCV!$B$4:$B$61,),3)),"","Không trúng cử")</f>
        <v>Không trúng cử</v>
      </c>
      <c r="N145" s="93">
        <v>3</v>
      </c>
    </row>
    <row r="146" spans="1:14" ht="18.75" customHeight="1">
      <c r="A146" s="417"/>
      <c r="B146" s="418"/>
      <c r="C146" s="418"/>
      <c r="D146" s="418"/>
      <c r="E146" s="419"/>
      <c r="F146" s="446">
        <f ca="1">IF(COUNTIF($N$123:N146,N146)&gt;VLOOKUP(N146,TTinDV!$A$6:$E$14,5,),"",OFFSET(DSUCV!$B$3,MATCH(Mau27!N146,DSUCV!$C$4:$C$61,)+COUNTIF($N$123:N146,N146)-1,))</f>
      </c>
      <c r="G146" s="447"/>
      <c r="H146" s="448"/>
      <c r="I146" s="449" t="e">
        <f ca="1">OFFSET(DSUCV!$Y$3,MATCH(Mau27!F146,DSUCV!$B$4:$B$61,),)</f>
        <v>#N/A</v>
      </c>
      <c r="J146" s="450"/>
      <c r="K146" s="442" t="e">
        <f ca="1">OFFSET(DSUCV!$Y$3,MATCH(Mau27!F146,DSUCV!$B$4:$B$61,),1)</f>
        <v>#N/A</v>
      </c>
      <c r="L146" s="443"/>
      <c r="M146" s="94" t="str">
        <f ca="1">IF(ISNUMBER(OFFSET(DSUCV!$Y$3,MATCH(Mau27!F146,DSUCV!$B$4:$B$61,),3)),"","Không trúng cử")</f>
        <v>Không trúng cử</v>
      </c>
      <c r="N146" s="93">
        <v>3</v>
      </c>
    </row>
    <row r="147" spans="1:14" ht="18.75" customHeight="1">
      <c r="A147" s="454" t="s">
        <v>334</v>
      </c>
      <c r="B147" s="455"/>
      <c r="C147" s="455"/>
      <c r="D147" s="455"/>
      <c r="E147" s="456"/>
      <c r="F147" s="446" t="str">
        <f ca="1">IF(COUNTIF($N$123:N147,N147)&gt;VLOOKUP(N147,TTinDV!$A$6:$E$14,5,),"",OFFSET(DSUCV!$B$3,MATCH(Mau27!N147,DSUCV!$C$4:$C$61,)+COUNTIF($N$123:N147,N147)-1,))</f>
        <v>UV A11</v>
      </c>
      <c r="G147" s="447"/>
      <c r="H147" s="448"/>
      <c r="I147" s="449">
        <f ca="1">OFFSET(DSUCV!$Y$3,MATCH(Mau27!F147,DSUCV!$B$4:$B$61,),)</f>
        <v>0.00042496</v>
      </c>
      <c r="J147" s="450"/>
      <c r="K147" s="442" t="e">
        <f ca="1">OFFSET(DSUCV!$Y$3,MATCH(Mau27!F147,DSUCV!$B$4:$B$61,),1)</f>
        <v>#DIV/0!</v>
      </c>
      <c r="L147" s="443"/>
      <c r="M147" s="94" t="str">
        <f ca="1">IF(ISNUMBER(OFFSET(DSUCV!$Y$3,MATCH(Mau27!F147,DSUCV!$B$4:$B$61,),3)),"","Không trúng cử")</f>
        <v>Không trúng cử</v>
      </c>
      <c r="N147" s="93">
        <v>4</v>
      </c>
    </row>
    <row r="148" spans="1:14" ht="18.75" customHeight="1">
      <c r="A148" s="439" t="s">
        <v>321</v>
      </c>
      <c r="B148" s="440"/>
      <c r="C148" s="440"/>
      <c r="D148" s="440"/>
      <c r="E148" s="441"/>
      <c r="F148" s="446" t="str">
        <f ca="1">IF(COUNTIF($N$123:N148,N148)&gt;VLOOKUP(N148,TTinDV!$A$6:$E$14,5,),"",OFFSET(DSUCV!$B$3,MATCH(Mau27!N148,DSUCV!$C$4:$C$61,)+COUNTIF($N$123:N148,N148)-1,))</f>
        <v>UV A12</v>
      </c>
      <c r="G148" s="447"/>
      <c r="H148" s="448"/>
      <c r="I148" s="449">
        <f ca="1">OFFSET(DSUCV!$Y$3,MATCH(Mau27!F148,DSUCV!$B$4:$B$61,),)</f>
        <v>0.00042496</v>
      </c>
      <c r="J148" s="450"/>
      <c r="K148" s="442" t="e">
        <f ca="1">OFFSET(DSUCV!$Y$3,MATCH(Mau27!F148,DSUCV!$B$4:$B$61,),1)</f>
        <v>#DIV/0!</v>
      </c>
      <c r="L148" s="443"/>
      <c r="M148" s="94" t="str">
        <f ca="1">IF(ISNUMBER(OFFSET(DSUCV!$Y$3,MATCH(Mau27!F148,DSUCV!$B$4:$B$61,),3)),"","Không trúng cử")</f>
        <v>Không trúng cử</v>
      </c>
      <c r="N148" s="93">
        <v>4</v>
      </c>
    </row>
    <row r="149" spans="1:14" ht="18.75" customHeight="1">
      <c r="A149" s="439"/>
      <c r="B149" s="440"/>
      <c r="C149" s="440"/>
      <c r="D149" s="440"/>
      <c r="E149" s="441"/>
      <c r="F149" s="446" t="str">
        <f ca="1">IF(COUNTIF($N$123:N149,N149)&gt;VLOOKUP(N149,TTinDV!$A$6:$E$14,5,),"",OFFSET(DSUCV!$B$3,MATCH(Mau27!N149,DSUCV!$C$4:$C$61,)+COUNTIF($N$123:N149,N149)-1,))</f>
        <v>UV A13</v>
      </c>
      <c r="G149" s="447"/>
      <c r="H149" s="448"/>
      <c r="I149" s="449">
        <f ca="1">OFFSET(DSUCV!$Y$3,MATCH(Mau27!F149,DSUCV!$B$4:$B$61,),)</f>
        <v>0.00042496</v>
      </c>
      <c r="J149" s="450"/>
      <c r="K149" s="442" t="e">
        <f ca="1">OFFSET(DSUCV!$Y$3,MATCH(Mau27!F149,DSUCV!$B$4:$B$61,),1)</f>
        <v>#DIV/0!</v>
      </c>
      <c r="L149" s="443"/>
      <c r="M149" s="94" t="str">
        <f ca="1">IF(ISNUMBER(OFFSET(DSUCV!$Y$3,MATCH(Mau27!F149,DSUCV!$B$4:$B$61,),3)),"","Không trúng cử")</f>
        <v>Không trúng cử</v>
      </c>
      <c r="N149" s="93">
        <v>4</v>
      </c>
    </row>
    <row r="150" spans="1:14" ht="18.75" customHeight="1">
      <c r="A150" s="439"/>
      <c r="B150" s="440"/>
      <c r="C150" s="440"/>
      <c r="D150" s="440"/>
      <c r="E150" s="441"/>
      <c r="F150" s="446" t="str">
        <f ca="1">IF(COUNTIF($N$123:N150,N150)&gt;VLOOKUP(N150,TTinDV!$A$6:$E$14,5,),"",OFFSET(DSUCV!$B$3,MATCH(Mau27!N150,DSUCV!$C$4:$C$61,)+COUNTIF($N$123:N150,N150)-1,))</f>
        <v>UV A14</v>
      </c>
      <c r="G150" s="447"/>
      <c r="H150" s="448"/>
      <c r="I150" s="449">
        <f ca="1">OFFSET(DSUCV!$Y$3,MATCH(Mau27!F150,DSUCV!$B$4:$B$61,),)</f>
        <v>0.00042496</v>
      </c>
      <c r="J150" s="450"/>
      <c r="K150" s="442" t="e">
        <f ca="1">OFFSET(DSUCV!$Y$3,MATCH(Mau27!F150,DSUCV!$B$4:$B$61,),1)</f>
        <v>#DIV/0!</v>
      </c>
      <c r="L150" s="443"/>
      <c r="M150" s="94" t="str">
        <f ca="1">IF(ISNUMBER(OFFSET(DSUCV!$Y$3,MATCH(Mau27!F150,DSUCV!$B$4:$B$61,),3)),"","Không trúng cử")</f>
        <v>Không trúng cử</v>
      </c>
      <c r="N150" s="93">
        <v>4</v>
      </c>
    </row>
    <row r="151" spans="1:14" ht="18.75" customHeight="1">
      <c r="A151" s="439"/>
      <c r="B151" s="440"/>
      <c r="C151" s="440"/>
      <c r="D151" s="440"/>
      <c r="E151" s="441"/>
      <c r="F151" s="446" t="str">
        <f ca="1">IF(COUNTIF($N$123:N151,N151)&gt;VLOOKUP(N151,TTinDV!$A$6:$E$14,5,),"",OFFSET(DSUCV!$B$3,MATCH(Mau27!N151,DSUCV!$C$4:$C$61,)+COUNTIF($N$123:N151,N151)-1,))</f>
        <v>UV A15</v>
      </c>
      <c r="G151" s="447"/>
      <c r="H151" s="448"/>
      <c r="I151" s="449">
        <f ca="1">OFFSET(DSUCV!$Y$3,MATCH(Mau27!F151,DSUCV!$B$4:$B$61,),)</f>
        <v>0.00042496</v>
      </c>
      <c r="J151" s="450"/>
      <c r="K151" s="442" t="e">
        <f ca="1">OFFSET(DSUCV!$Y$3,MATCH(Mau27!F151,DSUCV!$B$4:$B$61,),1)</f>
        <v>#DIV/0!</v>
      </c>
      <c r="L151" s="443"/>
      <c r="M151" s="94" t="str">
        <f ca="1">IF(ISNUMBER(OFFSET(DSUCV!$Y$3,MATCH(Mau27!F151,DSUCV!$B$4:$B$61,),3)),"","Không trúng cử")</f>
        <v>Không trúng cử</v>
      </c>
      <c r="N151" s="93">
        <v>4</v>
      </c>
    </row>
    <row r="152" spans="1:14" ht="18.75" customHeight="1">
      <c r="A152" s="439"/>
      <c r="B152" s="440"/>
      <c r="C152" s="440"/>
      <c r="D152" s="440"/>
      <c r="E152" s="441"/>
      <c r="F152" s="446">
        <f ca="1">IF(COUNTIF($N$123:N152,N152)&gt;VLOOKUP(N152,TTinDV!$A$6:$E$14,5,),"",OFFSET(DSUCV!$B$3,MATCH(Mau27!N152,DSUCV!$C$4:$C$61,)+COUNTIF($N$123:N152,N152)-1,))</f>
      </c>
      <c r="G152" s="447"/>
      <c r="H152" s="448"/>
      <c r="I152" s="449" t="e">
        <f ca="1">OFFSET(DSUCV!$Y$3,MATCH(Mau27!F152,DSUCV!$B$4:$B$61,),)</f>
        <v>#N/A</v>
      </c>
      <c r="J152" s="450"/>
      <c r="K152" s="442" t="e">
        <f ca="1">OFFSET(DSUCV!$Y$3,MATCH(Mau27!F152,DSUCV!$B$4:$B$61,),1)</f>
        <v>#N/A</v>
      </c>
      <c r="L152" s="443"/>
      <c r="M152" s="94" t="str">
        <f ca="1">IF(ISNUMBER(OFFSET(DSUCV!$Y$3,MATCH(Mau27!F152,DSUCV!$B$4:$B$61,),3)),"","Không trúng cử")</f>
        <v>Không trúng cử</v>
      </c>
      <c r="N152" s="93">
        <v>4</v>
      </c>
    </row>
    <row r="153" spans="1:14" ht="18.75" customHeight="1">
      <c r="A153" s="439"/>
      <c r="B153" s="440"/>
      <c r="C153" s="440"/>
      <c r="D153" s="440"/>
      <c r="E153" s="441"/>
      <c r="F153" s="446">
        <f ca="1">IF(COUNTIF($N$123:N153,N153)&gt;VLOOKUP(N153,TTinDV!$A$6:$E$14,5,),"",OFFSET(DSUCV!$B$3,MATCH(Mau27!N153,DSUCV!$C$4:$C$61,)+COUNTIF($N$123:N153,N153)-1,))</f>
      </c>
      <c r="G153" s="447"/>
      <c r="H153" s="448"/>
      <c r="I153" s="449" t="e">
        <f ca="1">OFFSET(DSUCV!$Y$3,MATCH(Mau27!F153,DSUCV!$B$4:$B$61,),)</f>
        <v>#N/A</v>
      </c>
      <c r="J153" s="450"/>
      <c r="K153" s="442" t="e">
        <f ca="1">OFFSET(DSUCV!$Y$3,MATCH(Mau27!F153,DSUCV!$B$4:$B$61,),1)</f>
        <v>#N/A</v>
      </c>
      <c r="L153" s="443"/>
      <c r="M153" s="94" t="str">
        <f ca="1">IF(ISNUMBER(OFFSET(DSUCV!$Y$3,MATCH(Mau27!F153,DSUCV!$B$4:$B$61,),3)),"","Không trúng cử")</f>
        <v>Không trúng cử</v>
      </c>
      <c r="N153" s="93">
        <v>4</v>
      </c>
    </row>
    <row r="154" spans="1:14" ht="18.75" customHeight="1">
      <c r="A154" s="417"/>
      <c r="B154" s="418"/>
      <c r="C154" s="418"/>
      <c r="D154" s="418"/>
      <c r="E154" s="419"/>
      <c r="F154" s="446">
        <f ca="1">IF(COUNTIF($N$123:N154,N154)&gt;VLOOKUP(N154,TTinDV!$A$6:$E$14,5,),"",OFFSET(DSUCV!$B$3,MATCH(Mau27!N154,DSUCV!$C$4:$C$61,)+COUNTIF($N$123:N154,N154)-1,))</f>
      </c>
      <c r="G154" s="447"/>
      <c r="H154" s="448"/>
      <c r="I154" s="449" t="e">
        <f ca="1">OFFSET(DSUCV!$Y$3,MATCH(Mau27!F154,DSUCV!$B$4:$B$61,),)</f>
        <v>#N/A</v>
      </c>
      <c r="J154" s="450"/>
      <c r="K154" s="442" t="e">
        <f ca="1">OFFSET(DSUCV!$Y$3,MATCH(Mau27!F154,DSUCV!$B$4:$B$61,),1)</f>
        <v>#N/A</v>
      </c>
      <c r="L154" s="443"/>
      <c r="M154" s="94" t="str">
        <f ca="1">IF(ISNUMBER(OFFSET(DSUCV!$Y$3,MATCH(Mau27!F154,DSUCV!$B$4:$B$61,),3)),"","Không trúng cử")</f>
        <v>Không trúng cử</v>
      </c>
      <c r="N154" s="93">
        <v>4</v>
      </c>
    </row>
    <row r="155" spans="1:14" ht="18.75" customHeight="1">
      <c r="A155" s="454" t="s">
        <v>333</v>
      </c>
      <c r="B155" s="455"/>
      <c r="C155" s="455"/>
      <c r="D155" s="455"/>
      <c r="E155" s="456"/>
      <c r="F155" s="446" t="str">
        <f ca="1">IF(COUNTIF($N$123:N155,N155)&gt;VLOOKUP(N155,TTinDV!$A$6:$E$14,5,),"",OFFSET(DSUCV!$B$3,MATCH(Mau27!N155,DSUCV!$C$4:$C$61,)+COUNTIF($N$123:N155,N155)-1,))</f>
        <v>UV A16</v>
      </c>
      <c r="G155" s="447"/>
      <c r="H155" s="448"/>
      <c r="I155" s="449">
        <f ca="1">OFFSET(DSUCV!$Y$3,MATCH(Mau27!F155,DSUCV!$B$4:$B$61,),)</f>
        <v>0.00042496</v>
      </c>
      <c r="J155" s="450"/>
      <c r="K155" s="442" t="e">
        <f ca="1">OFFSET(DSUCV!$Y$3,MATCH(Mau27!F155,DSUCV!$B$4:$B$61,),1)</f>
        <v>#DIV/0!</v>
      </c>
      <c r="L155" s="443"/>
      <c r="M155" s="94" t="str">
        <f ca="1">IF(ISNUMBER(OFFSET(DSUCV!$Y$3,MATCH(Mau27!F155,DSUCV!$B$4:$B$61,),3)),"","Không trúng cử")</f>
        <v>Không trúng cử</v>
      </c>
      <c r="N155" s="93">
        <v>5</v>
      </c>
    </row>
    <row r="156" spans="1:14" ht="18.75" customHeight="1">
      <c r="A156" s="439" t="s">
        <v>321</v>
      </c>
      <c r="B156" s="440"/>
      <c r="C156" s="440"/>
      <c r="D156" s="440"/>
      <c r="E156" s="441"/>
      <c r="F156" s="446" t="str">
        <f ca="1">IF(COUNTIF($N$123:N156,N156)&gt;VLOOKUP(N156,TTinDV!$A$6:$E$14,5,),"",OFFSET(DSUCV!$B$3,MATCH(Mau27!N156,DSUCV!$C$4:$C$61,)+COUNTIF($N$123:N156,N156)-1,))</f>
        <v>UV A17</v>
      </c>
      <c r="G156" s="447"/>
      <c r="H156" s="448"/>
      <c r="I156" s="449">
        <f ca="1">OFFSET(DSUCV!$Y$3,MATCH(Mau27!F156,DSUCV!$B$4:$B$61,),)</f>
        <v>0.00042496</v>
      </c>
      <c r="J156" s="450"/>
      <c r="K156" s="442" t="e">
        <f ca="1">OFFSET(DSUCV!$Y$3,MATCH(Mau27!F156,DSUCV!$B$4:$B$61,),1)</f>
        <v>#DIV/0!</v>
      </c>
      <c r="L156" s="443"/>
      <c r="M156" s="94" t="str">
        <f ca="1">IF(ISNUMBER(OFFSET(DSUCV!$Y$3,MATCH(Mau27!F156,DSUCV!$B$4:$B$61,),3)),"","Không trúng cử")</f>
        <v>Không trúng cử</v>
      </c>
      <c r="N156" s="93">
        <v>5</v>
      </c>
    </row>
    <row r="157" spans="1:14" ht="18.75" customHeight="1">
      <c r="A157" s="439"/>
      <c r="B157" s="440"/>
      <c r="C157" s="440"/>
      <c r="D157" s="440"/>
      <c r="E157" s="441"/>
      <c r="F157" s="446" t="str">
        <f ca="1">IF(COUNTIF($N$123:N157,N157)&gt;VLOOKUP(N157,TTinDV!$A$6:$E$14,5,),"",OFFSET(DSUCV!$B$3,MATCH(Mau27!N157,DSUCV!$C$4:$C$61,)+COUNTIF($N$123:N157,N157)-1,))</f>
        <v>UV A18</v>
      </c>
      <c r="G157" s="447"/>
      <c r="H157" s="448"/>
      <c r="I157" s="449">
        <f ca="1">OFFSET(DSUCV!$Y$3,MATCH(Mau27!F157,DSUCV!$B$4:$B$61,),)</f>
        <v>0.00042496</v>
      </c>
      <c r="J157" s="450"/>
      <c r="K157" s="442" t="e">
        <f ca="1">OFFSET(DSUCV!$Y$3,MATCH(Mau27!F157,DSUCV!$B$4:$B$61,),1)</f>
        <v>#DIV/0!</v>
      </c>
      <c r="L157" s="443"/>
      <c r="M157" s="94" t="str">
        <f ca="1">IF(ISNUMBER(OFFSET(DSUCV!$Y$3,MATCH(Mau27!F157,DSUCV!$B$4:$B$61,),3)),"","Không trúng cử")</f>
        <v>Không trúng cử</v>
      </c>
      <c r="N157" s="93">
        <v>5</v>
      </c>
    </row>
    <row r="158" spans="1:14" ht="18.75" customHeight="1">
      <c r="A158" s="439"/>
      <c r="B158" s="440"/>
      <c r="C158" s="440"/>
      <c r="D158" s="440"/>
      <c r="E158" s="441"/>
      <c r="F158" s="446" t="str">
        <f ca="1">IF(COUNTIF($N$123:N158,N158)&gt;VLOOKUP(N158,TTinDV!$A$6:$E$14,5,),"",OFFSET(DSUCV!$B$3,MATCH(Mau27!N158,DSUCV!$C$4:$C$61,)+COUNTIF($N$123:N158,N158)-1,))</f>
        <v>UV A19</v>
      </c>
      <c r="G158" s="447"/>
      <c r="H158" s="448"/>
      <c r="I158" s="449">
        <f ca="1">OFFSET(DSUCV!$Y$3,MATCH(Mau27!F158,DSUCV!$B$4:$B$61,),)</f>
        <v>0.00042496</v>
      </c>
      <c r="J158" s="450"/>
      <c r="K158" s="442" t="e">
        <f ca="1">OFFSET(DSUCV!$Y$3,MATCH(Mau27!F158,DSUCV!$B$4:$B$61,),1)</f>
        <v>#DIV/0!</v>
      </c>
      <c r="L158" s="443"/>
      <c r="M158" s="94" t="str">
        <f ca="1">IF(ISNUMBER(OFFSET(DSUCV!$Y$3,MATCH(Mau27!F158,DSUCV!$B$4:$B$61,),3)),"","Không trúng cử")</f>
        <v>Không trúng cử</v>
      </c>
      <c r="N158" s="93">
        <v>5</v>
      </c>
    </row>
    <row r="159" spans="1:14" ht="18.75" customHeight="1">
      <c r="A159" s="439"/>
      <c r="B159" s="440"/>
      <c r="C159" s="440"/>
      <c r="D159" s="440"/>
      <c r="E159" s="441"/>
      <c r="F159" s="446" t="str">
        <f ca="1">IF(COUNTIF($N$123:N159,N159)&gt;VLOOKUP(N159,TTinDV!$A$6:$E$14,5,),"",OFFSET(DSUCV!$B$3,MATCH(Mau27!N159,DSUCV!$C$4:$C$61,)+COUNTIF($N$123:N159,N159)-1,))</f>
        <v>UV A20</v>
      </c>
      <c r="G159" s="447"/>
      <c r="H159" s="448"/>
      <c r="I159" s="449">
        <f ca="1">OFFSET(DSUCV!$Y$3,MATCH(Mau27!F159,DSUCV!$B$4:$B$61,),)</f>
        <v>0.00042496</v>
      </c>
      <c r="J159" s="450"/>
      <c r="K159" s="442" t="e">
        <f ca="1">OFFSET(DSUCV!$Y$3,MATCH(Mau27!F159,DSUCV!$B$4:$B$61,),1)</f>
        <v>#DIV/0!</v>
      </c>
      <c r="L159" s="443"/>
      <c r="M159" s="94" t="str">
        <f ca="1">IF(ISNUMBER(OFFSET(DSUCV!$Y$3,MATCH(Mau27!F159,DSUCV!$B$4:$B$61,),3)),"","Không trúng cử")</f>
        <v>Không trúng cử</v>
      </c>
      <c r="N159" s="93">
        <v>5</v>
      </c>
    </row>
    <row r="160" spans="1:14" ht="18.75" customHeight="1">
      <c r="A160" s="439"/>
      <c r="B160" s="440"/>
      <c r="C160" s="440"/>
      <c r="D160" s="440"/>
      <c r="E160" s="441"/>
      <c r="F160" s="446" t="str">
        <f ca="1">IF(COUNTIF($N$123:N160,N160)&gt;VLOOKUP(N160,TTinDV!$A$6:$E$14,5,),"",OFFSET(DSUCV!$B$3,MATCH(Mau27!N160,DSUCV!$C$4:$C$61,)+COUNTIF($N$123:N160,N160)-1,))</f>
        <v>UV A21</v>
      </c>
      <c r="G160" s="447"/>
      <c r="H160" s="448"/>
      <c r="I160" s="449">
        <f ca="1">OFFSET(DSUCV!$Y$3,MATCH(Mau27!F160,DSUCV!$B$4:$B$61,),)</f>
        <v>9.987E-05</v>
      </c>
      <c r="J160" s="450"/>
      <c r="K160" s="442" t="e">
        <f ca="1">OFFSET(DSUCV!$Y$3,MATCH(Mau27!F160,DSUCV!$B$4:$B$61,),1)</f>
        <v>#DIV/0!</v>
      </c>
      <c r="L160" s="443"/>
      <c r="M160" s="94" t="str">
        <f ca="1">IF(ISNUMBER(OFFSET(DSUCV!$Y$3,MATCH(Mau27!F160,DSUCV!$B$4:$B$61,),3)),"","Không trúng cử")</f>
        <v>Không trúng cử</v>
      </c>
      <c r="N160" s="93">
        <v>5</v>
      </c>
    </row>
    <row r="161" spans="1:14" ht="18.75" customHeight="1">
      <c r="A161" s="439"/>
      <c r="B161" s="440"/>
      <c r="C161" s="440"/>
      <c r="D161" s="440"/>
      <c r="E161" s="441"/>
      <c r="F161" s="446" t="str">
        <f ca="1">IF(COUNTIF($N$123:N161,N161)&gt;VLOOKUP(N161,TTinDV!$A$6:$E$14,5,),"",OFFSET(DSUCV!$B$3,MATCH(Mau27!N161,DSUCV!$C$4:$C$61,)+COUNTIF($N$123:N161,N161)-1,))</f>
        <v>UV A22</v>
      </c>
      <c r="G161" s="447"/>
      <c r="H161" s="448"/>
      <c r="I161" s="449">
        <f ca="1">OFFSET(DSUCV!$Y$3,MATCH(Mau27!F161,DSUCV!$B$4:$B$61,),)</f>
        <v>0.00012513</v>
      </c>
      <c r="J161" s="450"/>
      <c r="K161" s="442" t="e">
        <f ca="1">OFFSET(DSUCV!$Y$3,MATCH(Mau27!F161,DSUCV!$B$4:$B$61,),1)</f>
        <v>#DIV/0!</v>
      </c>
      <c r="L161" s="443"/>
      <c r="M161" s="94" t="str">
        <f ca="1">IF(ISNUMBER(OFFSET(DSUCV!$Y$3,MATCH(Mau27!F161,DSUCV!$B$4:$B$61,),3)),"","Không trúng cử")</f>
        <v>Không trúng cử</v>
      </c>
      <c r="N161" s="93">
        <v>5</v>
      </c>
    </row>
    <row r="162" spans="1:14" ht="18.75" customHeight="1">
      <c r="A162" s="417"/>
      <c r="B162" s="418"/>
      <c r="C162" s="418"/>
      <c r="D162" s="418"/>
      <c r="E162" s="419"/>
      <c r="F162" s="446">
        <f ca="1">IF(COUNTIF($N$123:N162,N162)&gt;VLOOKUP(N162,TTinDV!$A$6:$E$14,5,),"",OFFSET(DSUCV!$B$3,MATCH(Mau27!N162,DSUCV!$C$4:$C$61,)+COUNTIF($N$123:N162,N162)-1,))</f>
      </c>
      <c r="G162" s="447"/>
      <c r="H162" s="448"/>
      <c r="I162" s="449" t="e">
        <f ca="1">OFFSET(DSUCV!$Y$3,MATCH(Mau27!F162,DSUCV!$B$4:$B$61,),)</f>
        <v>#N/A</v>
      </c>
      <c r="J162" s="450"/>
      <c r="K162" s="442" t="e">
        <f ca="1">OFFSET(DSUCV!$Y$3,MATCH(Mau27!F162,DSUCV!$B$4:$B$61,),1)</f>
        <v>#N/A</v>
      </c>
      <c r="L162" s="443"/>
      <c r="M162" s="94" t="str">
        <f ca="1">IF(ISNUMBER(OFFSET(DSUCV!$Y$3,MATCH(Mau27!F162,DSUCV!$B$4:$B$61,),3)),"","Không trúng cử")</f>
        <v>Không trúng cử</v>
      </c>
      <c r="N162" s="93">
        <v>5</v>
      </c>
    </row>
    <row r="163" spans="1:14" ht="18.75" customHeight="1">
      <c r="A163" s="454" t="s">
        <v>332</v>
      </c>
      <c r="B163" s="455"/>
      <c r="C163" s="455"/>
      <c r="D163" s="455"/>
      <c r="E163" s="456"/>
      <c r="F163" s="446" t="str">
        <f ca="1">IF(COUNTIF($N$123:N163,N163)&gt;VLOOKUP(N163,TTinDV!$A$6:$E$14,5,),"",OFFSET(DSUCV!$B$3,MATCH(Mau27!N163,DSUCV!$C$4:$C$61,)+COUNTIF($N$123:N163,N163)-1,))</f>
        <v>UV A23</v>
      </c>
      <c r="G163" s="447"/>
      <c r="H163" s="448"/>
      <c r="I163" s="449">
        <f ca="1">OFFSET(DSUCV!$Y$3,MATCH(Mau27!F163,DSUCV!$B$4:$B$61,),)</f>
        <v>0.00013581</v>
      </c>
      <c r="J163" s="450"/>
      <c r="K163" s="442" t="e">
        <f ca="1">OFFSET(DSUCV!$Y$3,MATCH(Mau27!F163,DSUCV!$B$4:$B$61,),1)</f>
        <v>#DIV/0!</v>
      </c>
      <c r="L163" s="443"/>
      <c r="M163" s="94" t="str">
        <f ca="1">IF(ISNUMBER(OFFSET(DSUCV!$Y$3,MATCH(Mau27!F163,DSUCV!$B$4:$B$61,),3)),"","Không trúng cử")</f>
        <v>Không trúng cử</v>
      </c>
      <c r="N163" s="93">
        <v>6</v>
      </c>
    </row>
    <row r="164" spans="1:14" ht="18.75" customHeight="1">
      <c r="A164" s="439" t="s">
        <v>321</v>
      </c>
      <c r="B164" s="440"/>
      <c r="C164" s="440"/>
      <c r="D164" s="440"/>
      <c r="E164" s="441"/>
      <c r="F164" s="446" t="str">
        <f ca="1">IF(COUNTIF($N$123:N164,N164)&gt;VLOOKUP(N164,TTinDV!$A$6:$E$14,5,),"",OFFSET(DSUCV!$B$3,MATCH(Mau27!N164,DSUCV!$C$4:$C$61,)+COUNTIF($N$123:N164,N164)-1,))</f>
        <v>UV A24</v>
      </c>
      <c r="G164" s="447"/>
      <c r="H164" s="448"/>
      <c r="I164" s="449">
        <f ca="1">OFFSET(DSUCV!$Y$3,MATCH(Mau27!F164,DSUCV!$B$4:$B$61,),)</f>
        <v>0.00012758</v>
      </c>
      <c r="J164" s="450"/>
      <c r="K164" s="442" t="e">
        <f ca="1">OFFSET(DSUCV!$Y$3,MATCH(Mau27!F164,DSUCV!$B$4:$B$61,),1)</f>
        <v>#DIV/0!</v>
      </c>
      <c r="L164" s="443"/>
      <c r="M164" s="94" t="str">
        <f ca="1">IF(ISNUMBER(OFFSET(DSUCV!$Y$3,MATCH(Mau27!F164,DSUCV!$B$4:$B$61,),3)),"","Không trúng cử")</f>
        <v>Không trúng cử</v>
      </c>
      <c r="N164" s="93">
        <v>6</v>
      </c>
    </row>
    <row r="165" spans="1:14" ht="18.75" customHeight="1">
      <c r="A165" s="439"/>
      <c r="B165" s="440"/>
      <c r="C165" s="440"/>
      <c r="D165" s="440"/>
      <c r="E165" s="441"/>
      <c r="F165" s="446" t="str">
        <f ca="1">IF(COUNTIF($N$123:N165,N165)&gt;VLOOKUP(N165,TTinDV!$A$6:$E$14,5,),"",OFFSET(DSUCV!$B$3,MATCH(Mau27!N165,DSUCV!$C$4:$C$61,)+COUNTIF($N$123:N165,N165)-1,))</f>
        <v>UV A25</v>
      </c>
      <c r="G165" s="447"/>
      <c r="H165" s="448"/>
      <c r="I165" s="449">
        <f ca="1">OFFSET(DSUCV!$Y$3,MATCH(Mau27!F165,DSUCV!$B$4:$B$61,),)</f>
        <v>0.00020672</v>
      </c>
      <c r="J165" s="450"/>
      <c r="K165" s="442" t="e">
        <f ca="1">OFFSET(DSUCV!$Y$3,MATCH(Mau27!F165,DSUCV!$B$4:$B$61,),1)</f>
        <v>#DIV/0!</v>
      </c>
      <c r="L165" s="443"/>
      <c r="M165" s="94" t="str">
        <f ca="1">IF(ISNUMBER(OFFSET(DSUCV!$Y$3,MATCH(Mau27!F165,DSUCV!$B$4:$B$61,),3)),"","Không trúng cử")</f>
        <v>Không trúng cử</v>
      </c>
      <c r="N165" s="93">
        <v>6</v>
      </c>
    </row>
    <row r="166" spans="1:14" ht="18.75" customHeight="1">
      <c r="A166" s="439"/>
      <c r="B166" s="440"/>
      <c r="C166" s="440"/>
      <c r="D166" s="440"/>
      <c r="E166" s="441"/>
      <c r="F166" s="446">
        <f ca="1">IF(COUNTIF($N$123:N166,N166)&gt;VLOOKUP(N166,TTinDV!$A$6:$E$14,5,),"",OFFSET(DSUCV!$B$3,MATCH(Mau27!N166,DSUCV!$C$4:$C$61,)+COUNTIF($N$123:N166,N166)-1,))</f>
      </c>
      <c r="G166" s="447"/>
      <c r="H166" s="448"/>
      <c r="I166" s="449" t="e">
        <f ca="1">OFFSET(DSUCV!$Y$3,MATCH(Mau27!F166,DSUCV!$B$4:$B$61,),)</f>
        <v>#N/A</v>
      </c>
      <c r="J166" s="450"/>
      <c r="K166" s="442" t="e">
        <f ca="1">OFFSET(DSUCV!$Y$3,MATCH(Mau27!F166,DSUCV!$B$4:$B$61,),1)</f>
        <v>#N/A</v>
      </c>
      <c r="L166" s="443"/>
      <c r="M166" s="94" t="str">
        <f ca="1">IF(ISNUMBER(OFFSET(DSUCV!$Y$3,MATCH(Mau27!F166,DSUCV!$B$4:$B$61,),3)),"","Không trúng cử")</f>
        <v>Không trúng cử</v>
      </c>
      <c r="N166" s="93">
        <v>6</v>
      </c>
    </row>
    <row r="167" spans="1:14" ht="18.75" customHeight="1">
      <c r="A167" s="439"/>
      <c r="B167" s="440"/>
      <c r="C167" s="440"/>
      <c r="D167" s="440"/>
      <c r="E167" s="441"/>
      <c r="F167" s="446">
        <f ca="1">IF(COUNTIF($N$123:N167,N167)&gt;VLOOKUP(N167,TTinDV!$A$6:$E$14,5,),"",OFFSET(DSUCV!$B$3,MATCH(Mau27!N167,DSUCV!$C$4:$C$61,)+COUNTIF($N$123:N167,N167)-1,))</f>
      </c>
      <c r="G167" s="447"/>
      <c r="H167" s="448"/>
      <c r="I167" s="449" t="e">
        <f ca="1">OFFSET(DSUCV!$Y$3,MATCH(Mau27!F167,DSUCV!$B$4:$B$61,),)</f>
        <v>#N/A</v>
      </c>
      <c r="J167" s="450"/>
      <c r="K167" s="442" t="e">
        <f ca="1">OFFSET(DSUCV!$Y$3,MATCH(Mau27!F167,DSUCV!$B$4:$B$61,),1)</f>
        <v>#N/A</v>
      </c>
      <c r="L167" s="443"/>
      <c r="M167" s="94" t="str">
        <f ca="1">IF(ISNUMBER(OFFSET(DSUCV!$Y$3,MATCH(Mau27!F167,DSUCV!$B$4:$B$61,),3)),"","Không trúng cử")</f>
        <v>Không trúng cử</v>
      </c>
      <c r="N167" s="93">
        <v>6</v>
      </c>
    </row>
    <row r="168" spans="1:14" ht="18.75" customHeight="1">
      <c r="A168" s="439"/>
      <c r="B168" s="440"/>
      <c r="C168" s="440"/>
      <c r="D168" s="440"/>
      <c r="E168" s="441"/>
      <c r="F168" s="446">
        <f ca="1">IF(COUNTIF($N$123:N168,N168)&gt;VLOOKUP(N168,TTinDV!$A$6:$E$14,5,),"",OFFSET(DSUCV!$B$3,MATCH(Mau27!N168,DSUCV!$C$4:$C$61,)+COUNTIF($N$123:N168,N168)-1,))</f>
      </c>
      <c r="G168" s="447"/>
      <c r="H168" s="448"/>
      <c r="I168" s="449" t="e">
        <f ca="1">OFFSET(DSUCV!$Y$3,MATCH(Mau27!F168,DSUCV!$B$4:$B$61,),)</f>
        <v>#N/A</v>
      </c>
      <c r="J168" s="450"/>
      <c r="K168" s="442" t="e">
        <f ca="1">OFFSET(DSUCV!$Y$3,MATCH(Mau27!F168,DSUCV!$B$4:$B$61,),1)</f>
        <v>#N/A</v>
      </c>
      <c r="L168" s="443"/>
      <c r="M168" s="94" t="str">
        <f ca="1">IF(ISNUMBER(OFFSET(DSUCV!$Y$3,MATCH(Mau27!F168,DSUCV!$B$4:$B$61,),3)),"","Không trúng cử")</f>
        <v>Không trúng cử</v>
      </c>
      <c r="N168" s="93">
        <v>6</v>
      </c>
    </row>
    <row r="169" spans="1:14" ht="18.75" customHeight="1">
      <c r="A169" s="439"/>
      <c r="B169" s="440"/>
      <c r="C169" s="440"/>
      <c r="D169" s="440"/>
      <c r="E169" s="441"/>
      <c r="F169" s="446">
        <f ca="1">IF(COUNTIF($N$123:N169,N169)&gt;VLOOKUP(N169,TTinDV!$A$6:$E$14,5,),"",OFFSET(DSUCV!$B$3,MATCH(Mau27!N169,DSUCV!$C$4:$C$61,)+COUNTIF($N$123:N169,N169)-1,))</f>
      </c>
      <c r="G169" s="447"/>
      <c r="H169" s="448"/>
      <c r="I169" s="449" t="e">
        <f ca="1">OFFSET(DSUCV!$Y$3,MATCH(Mau27!F169,DSUCV!$B$4:$B$61,),)</f>
        <v>#N/A</v>
      </c>
      <c r="J169" s="450"/>
      <c r="K169" s="442" t="e">
        <f ca="1">OFFSET(DSUCV!$Y$3,MATCH(Mau27!F169,DSUCV!$B$4:$B$61,),1)</f>
        <v>#N/A</v>
      </c>
      <c r="L169" s="443"/>
      <c r="M169" s="94" t="str">
        <f ca="1">IF(ISNUMBER(OFFSET(DSUCV!$Y$3,MATCH(Mau27!F169,DSUCV!$B$4:$B$61,),3)),"","Không trúng cử")</f>
        <v>Không trúng cử</v>
      </c>
      <c r="N169" s="93">
        <v>6</v>
      </c>
    </row>
    <row r="170" spans="1:14" ht="18.75" customHeight="1">
      <c r="A170" s="417"/>
      <c r="B170" s="418"/>
      <c r="C170" s="418"/>
      <c r="D170" s="418"/>
      <c r="E170" s="419"/>
      <c r="F170" s="446">
        <f ca="1">IF(COUNTIF($N$123:N170,N170)&gt;VLOOKUP(N170,TTinDV!$A$6:$E$14,5,),"",OFFSET(DSUCV!$B$3,MATCH(Mau27!N170,DSUCV!$C$4:$C$61,)+COUNTIF($N$123:N170,N170)-1,))</f>
      </c>
      <c r="G170" s="447"/>
      <c r="H170" s="448"/>
      <c r="I170" s="449" t="e">
        <f ca="1">OFFSET(DSUCV!$Y$3,MATCH(Mau27!F170,DSUCV!$B$4:$B$61,),)</f>
        <v>#N/A</v>
      </c>
      <c r="J170" s="450"/>
      <c r="K170" s="442" t="e">
        <f ca="1">OFFSET(DSUCV!$Y$3,MATCH(Mau27!F170,DSUCV!$B$4:$B$61,),1)</f>
        <v>#N/A</v>
      </c>
      <c r="L170" s="443"/>
      <c r="M170" s="94" t="str">
        <f ca="1">IF(ISNUMBER(OFFSET(DSUCV!$Y$3,MATCH(Mau27!F170,DSUCV!$B$4:$B$61,),3)),"","Không trúng cử")</f>
        <v>Không trúng cử</v>
      </c>
      <c r="N170" s="93">
        <v>6</v>
      </c>
    </row>
    <row r="171" spans="1:14" ht="18.75" customHeight="1">
      <c r="A171" s="454" t="s">
        <v>331</v>
      </c>
      <c r="B171" s="455"/>
      <c r="C171" s="455"/>
      <c r="D171" s="455"/>
      <c r="E171" s="456"/>
      <c r="F171" s="446" t="str">
        <f ca="1">IF(COUNTIF($N$123:N171,N171)&gt;VLOOKUP(N171,TTinDV!$A$6:$E$14,5,),"",OFFSET(DSUCV!$B$3,MATCH(Mau27!N171,DSUCV!$C$4:$C$61,)+COUNTIF($N$123:N171,N171)-1,))</f>
        <v>UV A26</v>
      </c>
      <c r="G171" s="447"/>
      <c r="H171" s="448"/>
      <c r="I171" s="449">
        <f ca="1">OFFSET(DSUCV!$Y$3,MATCH(Mau27!F171,DSUCV!$B$4:$B$61,),)</f>
        <v>0.0001991</v>
      </c>
      <c r="J171" s="450"/>
      <c r="K171" s="442" t="e">
        <f ca="1">OFFSET(DSUCV!$Y$3,MATCH(Mau27!F171,DSUCV!$B$4:$B$61,),1)</f>
        <v>#DIV/0!</v>
      </c>
      <c r="L171" s="443"/>
      <c r="M171" s="94" t="str">
        <f ca="1">IF(ISNUMBER(OFFSET(DSUCV!$Y$3,MATCH(Mau27!F171,DSUCV!$B$4:$B$61,),3)),"","Không trúng cử")</f>
        <v>Không trúng cử</v>
      </c>
      <c r="N171" s="93">
        <v>7</v>
      </c>
    </row>
    <row r="172" spans="1:14" ht="18.75" customHeight="1">
      <c r="A172" s="439" t="s">
        <v>321</v>
      </c>
      <c r="B172" s="440"/>
      <c r="C172" s="440"/>
      <c r="D172" s="440"/>
      <c r="E172" s="441"/>
      <c r="F172" s="446" t="str">
        <f ca="1">IF(COUNTIF($N$123:N172,N172)&gt;VLOOKUP(N172,TTinDV!$A$6:$E$14,5,),"",OFFSET(DSUCV!$B$3,MATCH(Mau27!N172,DSUCV!$C$4:$C$61,)+COUNTIF($N$123:N172,N172)-1,))</f>
        <v>UV A27</v>
      </c>
      <c r="G172" s="447"/>
      <c r="H172" s="448"/>
      <c r="I172" s="449">
        <f ca="1">OFFSET(DSUCV!$Y$3,MATCH(Mau27!F172,DSUCV!$B$4:$B$61,),)</f>
        <v>0.00019272</v>
      </c>
      <c r="J172" s="450"/>
      <c r="K172" s="442" t="e">
        <f ca="1">OFFSET(DSUCV!$Y$3,MATCH(Mau27!F172,DSUCV!$B$4:$B$61,),1)</f>
        <v>#DIV/0!</v>
      </c>
      <c r="L172" s="443"/>
      <c r="M172" s="94" t="str">
        <f ca="1">IF(ISNUMBER(OFFSET(DSUCV!$Y$3,MATCH(Mau27!F172,DSUCV!$B$4:$B$61,),3)),"","Không trúng cử")</f>
        <v>Không trúng cử</v>
      </c>
      <c r="N172" s="93">
        <v>7</v>
      </c>
    </row>
    <row r="173" spans="1:14" ht="18.75" customHeight="1">
      <c r="A173" s="439"/>
      <c r="B173" s="440"/>
      <c r="C173" s="440"/>
      <c r="D173" s="440"/>
      <c r="E173" s="441"/>
      <c r="F173" s="446" t="str">
        <f ca="1">IF(COUNTIF($N$123:N173,N173)&gt;VLOOKUP(N173,TTinDV!$A$6:$E$14,5,),"",OFFSET(DSUCV!$B$3,MATCH(Mau27!N173,DSUCV!$C$4:$C$61,)+COUNTIF($N$123:N173,N173)-1,))</f>
        <v>UV A28</v>
      </c>
      <c r="G173" s="447"/>
      <c r="H173" s="448"/>
      <c r="I173" s="449">
        <f ca="1">OFFSET(DSUCV!$Y$3,MATCH(Mau27!F173,DSUCV!$B$4:$B$61,),)</f>
        <v>0.00020886</v>
      </c>
      <c r="J173" s="450"/>
      <c r="K173" s="442" t="e">
        <f ca="1">OFFSET(DSUCV!$Y$3,MATCH(Mau27!F173,DSUCV!$B$4:$B$61,),1)</f>
        <v>#DIV/0!</v>
      </c>
      <c r="L173" s="443"/>
      <c r="M173" s="94" t="str">
        <f ca="1">IF(ISNUMBER(OFFSET(DSUCV!$Y$3,MATCH(Mau27!F173,DSUCV!$B$4:$B$61,),3)),"","Không trúng cử")</f>
        <v>Không trúng cử</v>
      </c>
      <c r="N173" s="93">
        <v>7</v>
      </c>
    </row>
    <row r="174" spans="1:14" ht="18.75" customHeight="1">
      <c r="A174" s="439"/>
      <c r="B174" s="440"/>
      <c r="C174" s="440"/>
      <c r="D174" s="440"/>
      <c r="E174" s="441"/>
      <c r="F174" s="446" t="str">
        <f ca="1">IF(COUNTIF($N$123:N174,N174)&gt;VLOOKUP(N174,TTinDV!$A$6:$E$14,5,),"",OFFSET(DSUCV!$B$3,MATCH(Mau27!N174,DSUCV!$C$4:$C$61,)+COUNTIF($N$123:N174,N174)-1,))</f>
        <v>UV A29</v>
      </c>
      <c r="G174" s="447"/>
      <c r="H174" s="448"/>
      <c r="I174" s="449">
        <f ca="1">OFFSET(DSUCV!$Y$3,MATCH(Mau27!F174,DSUCV!$B$4:$B$61,),)</f>
        <v>0.00042496</v>
      </c>
      <c r="J174" s="450"/>
      <c r="K174" s="442" t="e">
        <f ca="1">OFFSET(DSUCV!$Y$3,MATCH(Mau27!F174,DSUCV!$B$4:$B$61,),1)</f>
        <v>#DIV/0!</v>
      </c>
      <c r="L174" s="443"/>
      <c r="M174" s="94" t="str">
        <f ca="1">IF(ISNUMBER(OFFSET(DSUCV!$Y$3,MATCH(Mau27!F174,DSUCV!$B$4:$B$61,),3)),"","Không trúng cử")</f>
        <v>Không trúng cử</v>
      </c>
      <c r="N174" s="93">
        <v>7</v>
      </c>
    </row>
    <row r="175" spans="1:14" ht="18.75" customHeight="1">
      <c r="A175" s="439"/>
      <c r="B175" s="440"/>
      <c r="C175" s="440"/>
      <c r="D175" s="440"/>
      <c r="E175" s="441"/>
      <c r="F175" s="446" t="str">
        <f ca="1">IF(COUNTIF($N$123:N175,N175)&gt;VLOOKUP(N175,TTinDV!$A$6:$E$14,5,),"",OFFSET(DSUCV!$B$3,MATCH(Mau27!N175,DSUCV!$C$4:$C$61,)+COUNTIF($N$123:N175,N175)-1,))</f>
        <v>UV A30</v>
      </c>
      <c r="G175" s="447"/>
      <c r="H175" s="448"/>
      <c r="I175" s="449">
        <f ca="1">OFFSET(DSUCV!$Y$3,MATCH(Mau27!F175,DSUCV!$B$4:$B$61,),)</f>
        <v>0.00042496</v>
      </c>
      <c r="J175" s="450"/>
      <c r="K175" s="442" t="e">
        <f ca="1">OFFSET(DSUCV!$Y$3,MATCH(Mau27!F175,DSUCV!$B$4:$B$61,),1)</f>
        <v>#DIV/0!</v>
      </c>
      <c r="L175" s="443"/>
      <c r="M175" s="94" t="str">
        <f ca="1">IF(ISNUMBER(OFFSET(DSUCV!$Y$3,MATCH(Mau27!F175,DSUCV!$B$4:$B$61,),3)),"","Không trúng cử")</f>
        <v>Không trúng cử</v>
      </c>
      <c r="N175" s="93">
        <v>7</v>
      </c>
    </row>
    <row r="176" spans="1:14" ht="18.75" customHeight="1">
      <c r="A176" s="439"/>
      <c r="B176" s="440"/>
      <c r="C176" s="440"/>
      <c r="D176" s="440"/>
      <c r="E176" s="441"/>
      <c r="F176" s="446" t="str">
        <f ca="1">IF(COUNTIF($N$123:N176,N176)&gt;VLOOKUP(N176,TTinDV!$A$6:$E$14,5,),"",OFFSET(DSUCV!$B$3,MATCH(Mau27!N176,DSUCV!$C$4:$C$61,)+COUNTIF($N$123:N176,N176)-1,))</f>
        <v>UV A31</v>
      </c>
      <c r="G176" s="447"/>
      <c r="H176" s="448"/>
      <c r="I176" s="449">
        <f ca="1">OFFSET(DSUCV!$Y$3,MATCH(Mau27!F176,DSUCV!$B$4:$B$61,),)</f>
        <v>0.00042496</v>
      </c>
      <c r="J176" s="450"/>
      <c r="K176" s="442" t="e">
        <f ca="1">OFFSET(DSUCV!$Y$3,MATCH(Mau27!F176,DSUCV!$B$4:$B$61,),1)</f>
        <v>#DIV/0!</v>
      </c>
      <c r="L176" s="443"/>
      <c r="M176" s="94" t="str">
        <f ca="1">IF(ISNUMBER(OFFSET(DSUCV!$Y$3,MATCH(Mau27!F176,DSUCV!$B$4:$B$61,),3)),"","Không trúng cử")</f>
        <v>Không trúng cử</v>
      </c>
      <c r="N176" s="93">
        <v>7</v>
      </c>
    </row>
    <row r="177" spans="1:14" ht="18.75" customHeight="1">
      <c r="A177" s="439"/>
      <c r="B177" s="440"/>
      <c r="C177" s="440"/>
      <c r="D177" s="440"/>
      <c r="E177" s="441"/>
      <c r="F177" s="446" t="str">
        <f ca="1">IF(COUNTIF($N$123:N177,N177)&gt;VLOOKUP(N177,TTinDV!$A$6:$E$14,5,),"",OFFSET(DSUCV!$B$3,MATCH(Mau27!N177,DSUCV!$C$4:$C$61,)+COUNTIF($N$123:N177,N177)-1,))</f>
        <v>UV A32</v>
      </c>
      <c r="G177" s="447"/>
      <c r="H177" s="448"/>
      <c r="I177" s="449">
        <f ca="1">OFFSET(DSUCV!$Y$3,MATCH(Mau27!F177,DSUCV!$B$4:$B$61,),)</f>
        <v>0.00042496</v>
      </c>
      <c r="J177" s="450"/>
      <c r="K177" s="442" t="e">
        <f ca="1">OFFSET(DSUCV!$Y$3,MATCH(Mau27!F177,DSUCV!$B$4:$B$61,),1)</f>
        <v>#DIV/0!</v>
      </c>
      <c r="L177" s="443"/>
      <c r="M177" s="94" t="str">
        <f ca="1">IF(ISNUMBER(OFFSET(DSUCV!$Y$3,MATCH(Mau27!F177,DSUCV!$B$4:$B$61,),3)),"","Không trúng cử")</f>
        <v>Không trúng cử</v>
      </c>
      <c r="N177" s="93">
        <v>7</v>
      </c>
    </row>
    <row r="178" spans="1:14" ht="18.75" customHeight="1">
      <c r="A178" s="417"/>
      <c r="B178" s="418"/>
      <c r="C178" s="418"/>
      <c r="D178" s="418"/>
      <c r="E178" s="419"/>
      <c r="F178" s="446">
        <f ca="1">IF(COUNTIF($N$123:N178,N178)&gt;VLOOKUP(N178,TTinDV!$A$6:$E$14,5,),"",OFFSET(DSUCV!$B$3,MATCH(Mau27!N178,DSUCV!$C$4:$C$61,)+COUNTIF($N$123:N178,N178)-1,))</f>
      </c>
      <c r="G178" s="447"/>
      <c r="H178" s="448"/>
      <c r="I178" s="449" t="e">
        <f ca="1">OFFSET(DSUCV!$Y$3,MATCH(Mau27!F178,DSUCV!$B$4:$B$61,),)</f>
        <v>#N/A</v>
      </c>
      <c r="J178" s="450"/>
      <c r="K178" s="442" t="e">
        <f ca="1">OFFSET(DSUCV!$Y$3,MATCH(Mau27!F178,DSUCV!$B$4:$B$61,),1)</f>
        <v>#N/A</v>
      </c>
      <c r="L178" s="443"/>
      <c r="M178" s="94" t="str">
        <f ca="1">IF(ISNUMBER(OFFSET(DSUCV!$Y$3,MATCH(Mau27!F178,DSUCV!$B$4:$B$61,),3)),"","Không trúng cử")</f>
        <v>Không trúng cử</v>
      </c>
      <c r="N178" s="93">
        <v>7</v>
      </c>
    </row>
    <row r="179" spans="1:14" ht="18.75" customHeight="1">
      <c r="A179" s="454" t="s">
        <v>330</v>
      </c>
      <c r="B179" s="455"/>
      <c r="C179" s="455"/>
      <c r="D179" s="455"/>
      <c r="E179" s="456"/>
      <c r="F179" s="446" t="str">
        <f ca="1">IF(COUNTIF($N$123:N179,N179)&gt;VLOOKUP(N179,TTinDV!$A$6:$E$14,5,),"",OFFSET(DSUCV!$B$3,MATCH(Mau27!N179,DSUCV!$C$4:$C$61,)+COUNTIF($N$123:N179,N179)-1,))</f>
        <v>UV A33</v>
      </c>
      <c r="G179" s="447"/>
      <c r="H179" s="448"/>
      <c r="I179" s="449">
        <f ca="1">OFFSET(DSUCV!$Y$3,MATCH(Mau27!F179,DSUCV!$B$4:$B$61,),)</f>
        <v>0.00042496</v>
      </c>
      <c r="J179" s="450"/>
      <c r="K179" s="442" t="e">
        <f ca="1">OFFSET(DSUCV!$Y$3,MATCH(Mau27!F179,DSUCV!$B$4:$B$61,),1)</f>
        <v>#DIV/0!</v>
      </c>
      <c r="L179" s="443"/>
      <c r="M179" s="94" t="str">
        <f ca="1">IF(ISNUMBER(OFFSET(DSUCV!$Y$3,MATCH(Mau27!F179,DSUCV!$B$4:$B$61,),3)),"","Không trúng cử")</f>
        <v>Không trúng cử</v>
      </c>
      <c r="N179" s="93">
        <v>8</v>
      </c>
    </row>
    <row r="180" spans="1:14" ht="18.75" customHeight="1">
      <c r="A180" s="439" t="s">
        <v>321</v>
      </c>
      <c r="B180" s="440"/>
      <c r="C180" s="440"/>
      <c r="D180" s="440"/>
      <c r="E180" s="441"/>
      <c r="F180" s="446" t="str">
        <f ca="1">IF(COUNTIF($N$123:N180,N180)&gt;VLOOKUP(N180,TTinDV!$A$6:$E$14,5,),"",OFFSET(DSUCV!$B$3,MATCH(Mau27!N180,DSUCV!$C$4:$C$61,)+COUNTIF($N$123:N180,N180)-1,))</f>
        <v>UV A34</v>
      </c>
      <c r="G180" s="447"/>
      <c r="H180" s="448"/>
      <c r="I180" s="449">
        <f ca="1">OFFSET(DSUCV!$Y$3,MATCH(Mau27!F180,DSUCV!$B$4:$B$61,),)</f>
        <v>0.00042496</v>
      </c>
      <c r="J180" s="450"/>
      <c r="K180" s="442" t="e">
        <f ca="1">OFFSET(DSUCV!$Y$3,MATCH(Mau27!F180,DSUCV!$B$4:$B$61,),1)</f>
        <v>#DIV/0!</v>
      </c>
      <c r="L180" s="443"/>
      <c r="M180" s="94" t="str">
        <f ca="1">IF(ISNUMBER(OFFSET(DSUCV!$Y$3,MATCH(Mau27!F180,DSUCV!$B$4:$B$61,),3)),"","Không trúng cử")</f>
        <v>Không trúng cử</v>
      </c>
      <c r="N180" s="93">
        <v>8</v>
      </c>
    </row>
    <row r="181" spans="1:14" ht="18.75" customHeight="1">
      <c r="A181" s="439"/>
      <c r="B181" s="440"/>
      <c r="C181" s="440"/>
      <c r="D181" s="440"/>
      <c r="E181" s="441"/>
      <c r="F181" s="446" t="str">
        <f ca="1">IF(COUNTIF($N$123:N181,N181)&gt;VLOOKUP(N181,TTinDV!$A$6:$E$14,5,),"",OFFSET(DSUCV!$B$3,MATCH(Mau27!N181,DSUCV!$C$4:$C$61,)+COUNTIF($N$123:N181,N181)-1,))</f>
        <v>UV A35</v>
      </c>
      <c r="G181" s="447"/>
      <c r="H181" s="448"/>
      <c r="I181" s="449">
        <f ca="1">OFFSET(DSUCV!$Y$3,MATCH(Mau27!F181,DSUCV!$B$4:$B$61,),)</f>
        <v>0.00042496</v>
      </c>
      <c r="J181" s="450"/>
      <c r="K181" s="442" t="e">
        <f ca="1">OFFSET(DSUCV!$Y$3,MATCH(Mau27!F181,DSUCV!$B$4:$B$61,),1)</f>
        <v>#DIV/0!</v>
      </c>
      <c r="L181" s="443"/>
      <c r="M181" s="94" t="str">
        <f ca="1">IF(ISNUMBER(OFFSET(DSUCV!$Y$3,MATCH(Mau27!F181,DSUCV!$B$4:$B$61,),3)),"","Không trúng cử")</f>
        <v>Không trúng cử</v>
      </c>
      <c r="N181" s="93">
        <v>8</v>
      </c>
    </row>
    <row r="182" spans="1:14" ht="18.75" customHeight="1">
      <c r="A182" s="439"/>
      <c r="B182" s="440"/>
      <c r="C182" s="440"/>
      <c r="D182" s="440"/>
      <c r="E182" s="441"/>
      <c r="F182" s="446" t="str">
        <f ca="1">IF(COUNTIF($N$123:N182,N182)&gt;VLOOKUP(N182,TTinDV!$A$6:$E$14,5,),"",OFFSET(DSUCV!$B$3,MATCH(Mau27!N182,DSUCV!$C$4:$C$61,)+COUNTIF($N$123:N182,N182)-1,))</f>
        <v>UV A36</v>
      </c>
      <c r="G182" s="447"/>
      <c r="H182" s="448"/>
      <c r="I182" s="449">
        <f ca="1">OFFSET(DSUCV!$Y$3,MATCH(Mau27!F182,DSUCV!$B$4:$B$61,),)</f>
        <v>0.00042496</v>
      </c>
      <c r="J182" s="450"/>
      <c r="K182" s="442" t="e">
        <f ca="1">OFFSET(DSUCV!$Y$3,MATCH(Mau27!F182,DSUCV!$B$4:$B$61,),1)</f>
        <v>#DIV/0!</v>
      </c>
      <c r="L182" s="443"/>
      <c r="M182" s="94" t="str">
        <f ca="1">IF(ISNUMBER(OFFSET(DSUCV!$Y$3,MATCH(Mau27!F182,DSUCV!$B$4:$B$61,),3)),"","Không trúng cử")</f>
        <v>Không trúng cử</v>
      </c>
      <c r="N182" s="93">
        <v>8</v>
      </c>
    </row>
    <row r="183" spans="1:14" ht="18.75" customHeight="1">
      <c r="A183" s="439"/>
      <c r="B183" s="440"/>
      <c r="C183" s="440"/>
      <c r="D183" s="440"/>
      <c r="E183" s="441"/>
      <c r="F183" s="446" t="str">
        <f ca="1">IF(COUNTIF($N$123:N183,N183)&gt;VLOOKUP(N183,TTinDV!$A$6:$E$14,5,),"",OFFSET(DSUCV!$B$3,MATCH(Mau27!N183,DSUCV!$C$4:$C$61,)+COUNTIF($N$123:N183,N183)-1,))</f>
        <v>UV A37</v>
      </c>
      <c r="G183" s="447"/>
      <c r="H183" s="448"/>
      <c r="I183" s="449">
        <f ca="1">OFFSET(DSUCV!$Y$3,MATCH(Mau27!F183,DSUCV!$B$4:$B$61,),)</f>
        <v>0.00042496</v>
      </c>
      <c r="J183" s="450"/>
      <c r="K183" s="442" t="e">
        <f ca="1">OFFSET(DSUCV!$Y$3,MATCH(Mau27!F183,DSUCV!$B$4:$B$61,),1)</f>
        <v>#DIV/0!</v>
      </c>
      <c r="L183" s="443"/>
      <c r="M183" s="94" t="str">
        <f ca="1">IF(ISNUMBER(OFFSET(DSUCV!$Y$3,MATCH(Mau27!F183,DSUCV!$B$4:$B$61,),3)),"","Không trúng cử")</f>
        <v>Không trúng cử</v>
      </c>
      <c r="N183" s="93">
        <v>8</v>
      </c>
    </row>
    <row r="184" spans="1:14" ht="18.75" customHeight="1">
      <c r="A184" s="439"/>
      <c r="B184" s="440"/>
      <c r="C184" s="440"/>
      <c r="D184" s="440"/>
      <c r="E184" s="441"/>
      <c r="F184" s="446">
        <f ca="1">IF(COUNTIF($N$123:N184,N184)&gt;VLOOKUP(N184,TTinDV!$A$6:$E$14,5,),"",OFFSET(DSUCV!$B$3,MATCH(Mau27!N184,DSUCV!$C$4:$C$61,)+COUNTIF($N$123:N184,N184)-1,))</f>
      </c>
      <c r="G184" s="447"/>
      <c r="H184" s="448"/>
      <c r="I184" s="449" t="e">
        <f ca="1">OFFSET(DSUCV!$Y$3,MATCH(Mau27!F184,DSUCV!$B$4:$B$61,),)</f>
        <v>#N/A</v>
      </c>
      <c r="J184" s="450"/>
      <c r="K184" s="442" t="e">
        <f ca="1">OFFSET(DSUCV!$Y$3,MATCH(Mau27!F184,DSUCV!$B$4:$B$61,),1)</f>
        <v>#N/A</v>
      </c>
      <c r="L184" s="443"/>
      <c r="M184" s="94" t="str">
        <f ca="1">IF(ISNUMBER(OFFSET(DSUCV!$Y$3,MATCH(Mau27!F184,DSUCV!$B$4:$B$61,),3)),"","Không trúng cử")</f>
        <v>Không trúng cử</v>
      </c>
      <c r="N184" s="93">
        <v>8</v>
      </c>
    </row>
    <row r="185" spans="1:14" ht="18.75" customHeight="1">
      <c r="A185" s="439"/>
      <c r="B185" s="440"/>
      <c r="C185" s="440"/>
      <c r="D185" s="440"/>
      <c r="E185" s="441"/>
      <c r="F185" s="446">
        <f ca="1">IF(COUNTIF($N$123:N185,N185)&gt;VLOOKUP(N185,TTinDV!$A$6:$E$14,5,),"",OFFSET(DSUCV!$B$3,MATCH(Mau27!N185,DSUCV!$C$4:$C$61,)+COUNTIF($N$123:N185,N185)-1,))</f>
      </c>
      <c r="G185" s="447"/>
      <c r="H185" s="448"/>
      <c r="I185" s="449" t="e">
        <f ca="1">OFFSET(DSUCV!$Y$3,MATCH(Mau27!F185,DSUCV!$B$4:$B$61,),)</f>
        <v>#N/A</v>
      </c>
      <c r="J185" s="450"/>
      <c r="K185" s="442" t="e">
        <f ca="1">OFFSET(DSUCV!$Y$3,MATCH(Mau27!F185,DSUCV!$B$4:$B$61,),1)</f>
        <v>#N/A</v>
      </c>
      <c r="L185" s="443"/>
      <c r="M185" s="94" t="str">
        <f ca="1">IF(ISNUMBER(OFFSET(DSUCV!$Y$3,MATCH(Mau27!F185,DSUCV!$B$4:$B$61,),3)),"","Không trúng cử")</f>
        <v>Không trúng cử</v>
      </c>
      <c r="N185" s="93">
        <v>8</v>
      </c>
    </row>
    <row r="186" spans="1:14" ht="18.75" customHeight="1">
      <c r="A186" s="417"/>
      <c r="B186" s="418"/>
      <c r="C186" s="418"/>
      <c r="D186" s="418"/>
      <c r="E186" s="419"/>
      <c r="F186" s="446">
        <f ca="1">IF(COUNTIF($N$123:N186,N186)&gt;VLOOKUP(N186,TTinDV!$A$6:$E$14,5,),"",OFFSET(DSUCV!$B$3,MATCH(Mau27!N186,DSUCV!$C$4:$C$61,)+COUNTIF($N$123:N186,N186)-1,))</f>
      </c>
      <c r="G186" s="447"/>
      <c r="H186" s="448"/>
      <c r="I186" s="449" t="e">
        <f ca="1">OFFSET(DSUCV!$Y$3,MATCH(Mau27!F186,DSUCV!$B$4:$B$61,),)</f>
        <v>#N/A</v>
      </c>
      <c r="J186" s="450"/>
      <c r="K186" s="442" t="e">
        <f ca="1">OFFSET(DSUCV!$Y$3,MATCH(Mau27!F186,DSUCV!$B$4:$B$61,),1)</f>
        <v>#N/A</v>
      </c>
      <c r="L186" s="443"/>
      <c r="M186" s="94" t="str">
        <f ca="1">IF(ISNUMBER(OFFSET(DSUCV!$Y$3,MATCH(Mau27!F186,DSUCV!$B$4:$B$61,),3)),"","Không trúng cử")</f>
        <v>Không trúng cử</v>
      </c>
      <c r="N186" s="93">
        <v>8</v>
      </c>
    </row>
    <row r="187" spans="1:14" ht="18.75" customHeight="1">
      <c r="A187" s="454" t="s">
        <v>329</v>
      </c>
      <c r="B187" s="455"/>
      <c r="C187" s="455"/>
      <c r="D187" s="455"/>
      <c r="E187" s="456"/>
      <c r="F187" s="446" t="str">
        <f ca="1">IF(COUNTIF($N$123:N187,N187)&gt;VLOOKUP(N187,TTinDV!$A$6:$E$14,5,),"",OFFSET(DSUCV!$B$3,MATCH(Mau27!N187,DSUCV!$C$4:$C$61,)+COUNTIF($N$123:N187,N187)-1,))</f>
        <v>UV A38</v>
      </c>
      <c r="G187" s="447"/>
      <c r="H187" s="448"/>
      <c r="I187" s="449">
        <f ca="1">OFFSET(DSUCV!$Y$3,MATCH(Mau27!F187,DSUCV!$B$4:$B$61,),)</f>
        <v>0.00042496</v>
      </c>
      <c r="J187" s="450"/>
      <c r="K187" s="442" t="e">
        <f ca="1">OFFSET(DSUCV!$Y$3,MATCH(Mau27!F187,DSUCV!$B$4:$B$61,),1)</f>
        <v>#DIV/0!</v>
      </c>
      <c r="L187" s="443"/>
      <c r="M187" s="94" t="str">
        <f ca="1">IF(ISNUMBER(OFFSET(DSUCV!$Y$3,MATCH(Mau27!F187,DSUCV!$B$4:$B$61,),3)),"","Không trúng cử")</f>
        <v>Không trúng cử</v>
      </c>
      <c r="N187" s="93">
        <v>9</v>
      </c>
    </row>
    <row r="188" spans="1:14" ht="18.75" customHeight="1">
      <c r="A188" s="439" t="s">
        <v>321</v>
      </c>
      <c r="B188" s="440"/>
      <c r="C188" s="440"/>
      <c r="D188" s="440"/>
      <c r="E188" s="441"/>
      <c r="F188" s="446" t="str">
        <f ca="1">IF(COUNTIF($N$123:N188,N188)&gt;VLOOKUP(N188,TTinDV!$A$6:$E$14,5,),"",OFFSET(DSUCV!$B$3,MATCH(Mau27!N188,DSUCV!$C$4:$C$61,)+COUNTIF($N$123:N188,N188)-1,))</f>
        <v>UV A39</v>
      </c>
      <c r="G188" s="447"/>
      <c r="H188" s="448"/>
      <c r="I188" s="449">
        <f ca="1">OFFSET(DSUCV!$Y$3,MATCH(Mau27!F188,DSUCV!$B$4:$B$61,),)</f>
        <v>0.00042496</v>
      </c>
      <c r="J188" s="450"/>
      <c r="K188" s="442" t="e">
        <f ca="1">OFFSET(DSUCV!$Y$3,MATCH(Mau27!F188,DSUCV!$B$4:$B$61,),1)</f>
        <v>#DIV/0!</v>
      </c>
      <c r="L188" s="443"/>
      <c r="M188" s="94" t="str">
        <f ca="1">IF(ISNUMBER(OFFSET(DSUCV!$Y$3,MATCH(Mau27!F188,DSUCV!$B$4:$B$61,),3)),"","Không trúng cử")</f>
        <v>Không trúng cử</v>
      </c>
      <c r="N188" s="93">
        <v>9</v>
      </c>
    </row>
    <row r="189" spans="1:14" ht="18.75" customHeight="1">
      <c r="A189" s="439"/>
      <c r="B189" s="440"/>
      <c r="C189" s="440"/>
      <c r="D189" s="440"/>
      <c r="E189" s="441"/>
      <c r="F189" s="446" t="str">
        <f ca="1">IF(COUNTIF($N$123:N189,N189)&gt;VLOOKUP(N189,TTinDV!$A$6:$E$14,5,),"",OFFSET(DSUCV!$B$3,MATCH(Mau27!N189,DSUCV!$C$4:$C$61,)+COUNTIF($N$123:N189,N189)-1,))</f>
        <v>UV A40</v>
      </c>
      <c r="G189" s="447"/>
      <c r="H189" s="448"/>
      <c r="I189" s="449">
        <f ca="1">OFFSET(DSUCV!$Y$3,MATCH(Mau27!F189,DSUCV!$B$4:$B$61,),)</f>
        <v>0.00042496</v>
      </c>
      <c r="J189" s="450"/>
      <c r="K189" s="442" t="e">
        <f ca="1">OFFSET(DSUCV!$Y$3,MATCH(Mau27!F189,DSUCV!$B$4:$B$61,),1)</f>
        <v>#DIV/0!</v>
      </c>
      <c r="L189" s="443"/>
      <c r="M189" s="94" t="str">
        <f ca="1">IF(ISNUMBER(OFFSET(DSUCV!$Y$3,MATCH(Mau27!F189,DSUCV!$B$4:$B$61,),3)),"","Không trúng cử")</f>
        <v>Không trúng cử</v>
      </c>
      <c r="N189" s="93">
        <v>9</v>
      </c>
    </row>
    <row r="190" spans="1:14" ht="18.75" customHeight="1">
      <c r="A190" s="439"/>
      <c r="B190" s="440"/>
      <c r="C190" s="440"/>
      <c r="D190" s="440"/>
      <c r="E190" s="441"/>
      <c r="F190" s="446" t="str">
        <f ca="1">IF(COUNTIF($N$123:N190,N190)&gt;VLOOKUP(N190,TTinDV!$A$6:$E$14,5,),"",OFFSET(DSUCV!$B$3,MATCH(Mau27!N190,DSUCV!$C$4:$C$61,)+COUNTIF($N$123:N190,N190)-1,))</f>
        <v>UV A41</v>
      </c>
      <c r="G190" s="447"/>
      <c r="H190" s="448"/>
      <c r="I190" s="449">
        <f ca="1">OFFSET(DSUCV!$Y$3,MATCH(Mau27!F190,DSUCV!$B$4:$B$61,),)</f>
        <v>0.00042496</v>
      </c>
      <c r="J190" s="450"/>
      <c r="K190" s="442" t="e">
        <f ca="1">OFFSET(DSUCV!$Y$3,MATCH(Mau27!F190,DSUCV!$B$4:$B$61,),1)</f>
        <v>#DIV/0!</v>
      </c>
      <c r="L190" s="443"/>
      <c r="M190" s="94" t="str">
        <f ca="1">IF(ISNUMBER(OFFSET(DSUCV!$Y$3,MATCH(Mau27!F190,DSUCV!$B$4:$B$61,),3)),"","Không trúng cử")</f>
        <v>Không trúng cử</v>
      </c>
      <c r="N190" s="93">
        <v>9</v>
      </c>
    </row>
    <row r="191" spans="1:14" ht="18.75" customHeight="1">
      <c r="A191" s="439"/>
      <c r="B191" s="440"/>
      <c r="C191" s="440"/>
      <c r="D191" s="440"/>
      <c r="E191" s="441"/>
      <c r="F191" s="446" t="str">
        <f ca="1">IF(COUNTIF($N$123:N191,N191)&gt;VLOOKUP(N191,TTinDV!$A$6:$E$14,5,),"",OFFSET(DSUCV!$B$3,MATCH(Mau27!N191,DSUCV!$C$4:$C$61,)+COUNTIF($N$123:N191,N191)-1,))</f>
        <v>UV A42</v>
      </c>
      <c r="G191" s="447"/>
      <c r="H191" s="448"/>
      <c r="I191" s="449">
        <f ca="1">OFFSET(DSUCV!$Y$3,MATCH(Mau27!F191,DSUCV!$B$4:$B$61,),)</f>
        <v>0.00042496</v>
      </c>
      <c r="J191" s="450"/>
      <c r="K191" s="442" t="e">
        <f ca="1">OFFSET(DSUCV!$Y$3,MATCH(Mau27!F191,DSUCV!$B$4:$B$61,),1)</f>
        <v>#DIV/0!</v>
      </c>
      <c r="L191" s="443"/>
      <c r="M191" s="94" t="str">
        <f ca="1">IF(ISNUMBER(OFFSET(DSUCV!$Y$3,MATCH(Mau27!F191,DSUCV!$B$4:$B$61,),3)),"","Không trúng cử")</f>
        <v>Không trúng cử</v>
      </c>
      <c r="N191" s="93">
        <v>9</v>
      </c>
    </row>
    <row r="192" spans="1:14" ht="18.75" customHeight="1">
      <c r="A192" s="439"/>
      <c r="B192" s="440"/>
      <c r="C192" s="440"/>
      <c r="D192" s="440"/>
      <c r="E192" s="441"/>
      <c r="F192" s="446">
        <f ca="1">IF(COUNTIF($N$123:N192,N192)&gt;VLOOKUP(N192,TTinDV!$A$6:$E$14,5,),"",OFFSET(DSUCV!$B$3,MATCH(Mau27!N192,DSUCV!$C$4:$C$61,)+COUNTIF($N$123:N192,N192)-1,))</f>
      </c>
      <c r="G192" s="447"/>
      <c r="H192" s="448"/>
      <c r="I192" s="449" t="e">
        <f ca="1">OFFSET(DSUCV!$Y$3,MATCH(Mau27!F192,DSUCV!$B$4:$B$61,),)</f>
        <v>#N/A</v>
      </c>
      <c r="J192" s="450"/>
      <c r="K192" s="442" t="e">
        <f ca="1">OFFSET(DSUCV!$Y$3,MATCH(Mau27!F192,DSUCV!$B$4:$B$61,),1)</f>
        <v>#N/A</v>
      </c>
      <c r="L192" s="443"/>
      <c r="M192" s="94" t="str">
        <f ca="1">IF(ISNUMBER(OFFSET(DSUCV!$Y$3,MATCH(Mau27!F192,DSUCV!$B$4:$B$61,),3)),"","Không trúng cử")</f>
        <v>Không trúng cử</v>
      </c>
      <c r="N192" s="93">
        <v>9</v>
      </c>
    </row>
    <row r="193" spans="1:14" ht="18.75" customHeight="1">
      <c r="A193" s="439"/>
      <c r="B193" s="440"/>
      <c r="C193" s="440"/>
      <c r="D193" s="440"/>
      <c r="E193" s="441"/>
      <c r="F193" s="446">
        <f ca="1">IF(COUNTIF($N$123:N193,N193)&gt;VLOOKUP(N193,TTinDV!$A$6:$E$14,5,),"",OFFSET(DSUCV!$B$3,MATCH(Mau27!N193,DSUCV!$C$4:$C$61,)+COUNTIF($N$123:N193,N193)-1,))</f>
      </c>
      <c r="G193" s="447"/>
      <c r="H193" s="448"/>
      <c r="I193" s="449" t="e">
        <f ca="1">OFFSET(DSUCV!$Y$3,MATCH(Mau27!F193,DSUCV!$B$4:$B$61,),)</f>
        <v>#N/A</v>
      </c>
      <c r="J193" s="450"/>
      <c r="K193" s="442" t="e">
        <f ca="1">OFFSET(DSUCV!$Y$3,MATCH(Mau27!F193,DSUCV!$B$4:$B$61,),1)</f>
        <v>#N/A</v>
      </c>
      <c r="L193" s="443"/>
      <c r="M193" s="94" t="str">
        <f ca="1">IF(ISNUMBER(OFFSET(DSUCV!$Y$3,MATCH(Mau27!F193,DSUCV!$B$4:$B$61,),3)),"","Không trúng cử")</f>
        <v>Không trúng cử</v>
      </c>
      <c r="N193" s="93">
        <v>9</v>
      </c>
    </row>
    <row r="194" spans="1:14" ht="18.75" customHeight="1">
      <c r="A194" s="439"/>
      <c r="B194" s="440"/>
      <c r="C194" s="440"/>
      <c r="D194" s="440"/>
      <c r="E194" s="441"/>
      <c r="F194" s="446">
        <f ca="1">IF(COUNTIF($N$123:N194,N194)&gt;VLOOKUP(N194,TTinDV!$A$6:$E$14,5,),"",OFFSET(DSUCV!$B$3,MATCH(Mau27!N194,DSUCV!$C$4:$C$61,)+COUNTIF($N$123:N194,N194)-1,))</f>
      </c>
      <c r="G194" s="447"/>
      <c r="H194" s="448"/>
      <c r="I194" s="449" t="e">
        <f ca="1">OFFSET(DSUCV!$Y$3,MATCH(Mau27!F194,DSUCV!$B$4:$B$61,),)</f>
        <v>#N/A</v>
      </c>
      <c r="J194" s="450"/>
      <c r="K194" s="442" t="e">
        <f ca="1">OFFSET(DSUCV!$Y$3,MATCH(Mau27!F194,DSUCV!$B$4:$B$61,),1)</f>
        <v>#N/A</v>
      </c>
      <c r="L194" s="443"/>
      <c r="M194" s="94" t="str">
        <f ca="1">IF(ISNUMBER(OFFSET(DSUCV!$Y$3,MATCH(Mau27!F194,DSUCV!$B$4:$B$61,),3)),"","Không trúng cử")</f>
        <v>Không trúng cử</v>
      </c>
      <c r="N194" s="93">
        <v>9</v>
      </c>
    </row>
    <row r="195" spans="1:13" ht="16.5">
      <c r="A195" s="95"/>
      <c r="B195" s="127"/>
      <c r="C195" s="127"/>
      <c r="D195" s="127"/>
      <c r="E195" s="127"/>
      <c r="F195" s="127"/>
      <c r="G195" s="127"/>
      <c r="H195" s="127"/>
      <c r="I195" s="127"/>
      <c r="J195" s="127"/>
      <c r="K195" s="127"/>
      <c r="L195" s="127"/>
      <c r="M195" s="127"/>
    </row>
    <row r="196" spans="1:14" ht="16.5">
      <c r="A196" s="444" t="s">
        <v>328</v>
      </c>
      <c r="B196" s="444"/>
      <c r="C196" s="444"/>
      <c r="D196" s="444"/>
      <c r="E196" s="444"/>
      <c r="F196" s="444"/>
      <c r="G196" s="444"/>
      <c r="H196" s="444"/>
      <c r="I196" s="444"/>
      <c r="J196" s="444"/>
      <c r="K196" s="444"/>
      <c r="L196" s="444"/>
      <c r="M196" s="444"/>
      <c r="N196" s="121"/>
    </row>
    <row r="197" spans="1:13" ht="16.5">
      <c r="A197" s="445" t="s">
        <v>327</v>
      </c>
      <c r="B197" s="445"/>
      <c r="C197" s="445"/>
      <c r="D197" s="445"/>
      <c r="E197" s="445"/>
      <c r="F197" s="445"/>
      <c r="G197" s="445"/>
      <c r="H197" s="445"/>
      <c r="I197" s="445"/>
      <c r="J197" s="445"/>
      <c r="K197" s="445"/>
      <c r="L197" s="445"/>
      <c r="M197" s="445"/>
    </row>
    <row r="198" spans="1:13" ht="16.5">
      <c r="A198" s="445" t="s">
        <v>327</v>
      </c>
      <c r="B198" s="445"/>
      <c r="C198" s="445"/>
      <c r="D198" s="445"/>
      <c r="E198" s="445"/>
      <c r="F198" s="445"/>
      <c r="G198" s="445"/>
      <c r="H198" s="445"/>
      <c r="I198" s="445"/>
      <c r="J198" s="445"/>
      <c r="K198" s="445"/>
      <c r="L198" s="445"/>
      <c r="M198" s="445"/>
    </row>
    <row r="199" spans="1:13" ht="16.5">
      <c r="A199" s="445" t="s">
        <v>367</v>
      </c>
      <c r="B199" s="445"/>
      <c r="C199" s="445"/>
      <c r="D199" s="445"/>
      <c r="E199" s="445"/>
      <c r="F199" s="445"/>
      <c r="G199" s="445"/>
      <c r="H199" s="445"/>
      <c r="I199" s="445"/>
      <c r="J199" s="445"/>
      <c r="K199" s="445"/>
      <c r="L199" s="445"/>
      <c r="M199" s="445"/>
    </row>
    <row r="200" spans="1:13" ht="39.75" customHeight="1">
      <c r="A200" s="451" t="s">
        <v>326</v>
      </c>
      <c r="B200" s="452"/>
      <c r="C200" s="452"/>
      <c r="D200" s="452"/>
      <c r="E200" s="453"/>
      <c r="F200" s="451" t="s">
        <v>325</v>
      </c>
      <c r="G200" s="452"/>
      <c r="H200" s="453"/>
      <c r="I200" s="451" t="s">
        <v>324</v>
      </c>
      <c r="J200" s="453"/>
      <c r="K200" s="451" t="s">
        <v>323</v>
      </c>
      <c r="L200" s="453"/>
      <c r="M200" s="113" t="s">
        <v>245</v>
      </c>
    </row>
    <row r="201" spans="1:13" ht="15.75" customHeight="1">
      <c r="A201" s="454" t="s">
        <v>322</v>
      </c>
      <c r="B201" s="455"/>
      <c r="C201" s="455"/>
      <c r="D201" s="455"/>
      <c r="E201" s="456"/>
      <c r="F201" s="457"/>
      <c r="G201" s="458"/>
      <c r="H201" s="459"/>
      <c r="I201" s="460"/>
      <c r="J201" s="461"/>
      <c r="K201" s="465"/>
      <c r="L201" s="466"/>
      <c r="M201" s="122"/>
    </row>
    <row r="202" spans="1:13" ht="15.75">
      <c r="A202" s="439" t="s">
        <v>321</v>
      </c>
      <c r="B202" s="440"/>
      <c r="C202" s="440"/>
      <c r="D202" s="440"/>
      <c r="E202" s="441"/>
      <c r="F202" s="436"/>
      <c r="G202" s="437"/>
      <c r="H202" s="438"/>
      <c r="I202" s="432"/>
      <c r="J202" s="433"/>
      <c r="K202" s="434"/>
      <c r="L202" s="435"/>
      <c r="M202" s="123"/>
    </row>
    <row r="203" spans="1:13" ht="15.75">
      <c r="A203" s="439"/>
      <c r="B203" s="440"/>
      <c r="C203" s="440"/>
      <c r="D203" s="440"/>
      <c r="E203" s="441"/>
      <c r="F203" s="436"/>
      <c r="G203" s="437"/>
      <c r="H203" s="438"/>
      <c r="I203" s="432"/>
      <c r="J203" s="433"/>
      <c r="K203" s="434"/>
      <c r="L203" s="435"/>
      <c r="M203" s="123"/>
    </row>
    <row r="204" spans="1:13" ht="15.75">
      <c r="A204" s="439"/>
      <c r="B204" s="440"/>
      <c r="C204" s="440"/>
      <c r="D204" s="440"/>
      <c r="E204" s="441"/>
      <c r="F204" s="436"/>
      <c r="G204" s="437"/>
      <c r="H204" s="438"/>
      <c r="I204" s="432"/>
      <c r="J204" s="433"/>
      <c r="K204" s="434"/>
      <c r="L204" s="435"/>
      <c r="M204" s="123"/>
    </row>
    <row r="205" spans="1:13" ht="15.75">
      <c r="A205" s="417"/>
      <c r="B205" s="418"/>
      <c r="C205" s="418"/>
      <c r="D205" s="418"/>
      <c r="E205" s="419"/>
      <c r="F205" s="420"/>
      <c r="G205" s="421"/>
      <c r="H205" s="422"/>
      <c r="I205" s="423"/>
      <c r="J205" s="424"/>
      <c r="K205" s="425"/>
      <c r="L205" s="426"/>
      <c r="M205" s="124"/>
    </row>
    <row r="206" spans="1:13" ht="16.5">
      <c r="A206" s="95"/>
      <c r="B206" s="112" t="s">
        <v>320</v>
      </c>
      <c r="C206" s="127"/>
      <c r="D206" s="127"/>
      <c r="E206" s="127"/>
      <c r="F206" s="127"/>
      <c r="G206" s="127"/>
      <c r="H206" s="127"/>
      <c r="I206" s="127"/>
      <c r="J206" s="127"/>
      <c r="K206" s="127"/>
      <c r="L206" s="127"/>
      <c r="M206" s="127"/>
    </row>
    <row r="207" spans="1:13" ht="16.5">
      <c r="A207" s="416" t="s">
        <v>318</v>
      </c>
      <c r="B207" s="416"/>
      <c r="C207" s="416"/>
      <c r="D207" s="416"/>
      <c r="E207" s="416"/>
      <c r="F207" s="416"/>
      <c r="G207" s="416"/>
      <c r="H207" s="416"/>
      <c r="I207" s="416"/>
      <c r="J207" s="416"/>
      <c r="K207" s="416"/>
      <c r="L207" s="416"/>
      <c r="M207" s="416"/>
    </row>
    <row r="208" spans="2:13" ht="16.5">
      <c r="B208" s="112" t="s">
        <v>319</v>
      </c>
      <c r="L208" s="128"/>
      <c r="M208" s="109"/>
    </row>
    <row r="209" spans="1:13" ht="16.5">
      <c r="A209" s="416" t="s">
        <v>318</v>
      </c>
      <c r="B209" s="416"/>
      <c r="C209" s="416"/>
      <c r="D209" s="416"/>
      <c r="E209" s="416"/>
      <c r="F209" s="416"/>
      <c r="G209" s="416"/>
      <c r="H209" s="416"/>
      <c r="I209" s="416"/>
      <c r="J209" s="416"/>
      <c r="K209" s="416"/>
      <c r="L209" s="416"/>
      <c r="M209" s="416"/>
    </row>
    <row r="210" spans="1:13" ht="16.5">
      <c r="A210" s="416" t="s">
        <v>318</v>
      </c>
      <c r="B210" s="416"/>
      <c r="C210" s="416"/>
      <c r="D210" s="416"/>
      <c r="E210" s="416"/>
      <c r="F210" s="416"/>
      <c r="G210" s="416"/>
      <c r="H210" s="416"/>
      <c r="I210" s="416"/>
      <c r="J210" s="416"/>
      <c r="K210" s="416"/>
      <c r="L210" s="416"/>
      <c r="M210" s="416"/>
    </row>
    <row r="211" spans="1:13" ht="16.5">
      <c r="A211" s="428" t="s">
        <v>317</v>
      </c>
      <c r="B211" s="428"/>
      <c r="C211" s="428"/>
      <c r="D211" s="428"/>
      <c r="E211" s="428"/>
      <c r="F211" s="428"/>
      <c r="G211" s="428"/>
      <c r="H211" s="428"/>
      <c r="I211" s="428"/>
      <c r="J211" s="428"/>
      <c r="K211" s="428"/>
      <c r="L211" s="428"/>
      <c r="M211" s="428"/>
    </row>
    <row r="212" spans="2:14" ht="16.5">
      <c r="B212" s="129"/>
      <c r="C212" s="130"/>
      <c r="D212" s="130"/>
      <c r="E212" s="130"/>
      <c r="F212" s="130"/>
      <c r="G212" s="130"/>
      <c r="H212" s="130"/>
      <c r="I212" s="130"/>
      <c r="J212" s="130"/>
      <c r="K212" s="130"/>
      <c r="L212" s="130"/>
      <c r="M212" s="130"/>
      <c r="N212" s="131"/>
    </row>
    <row r="213" spans="1:13" ht="16.5">
      <c r="A213" s="132"/>
      <c r="B213" s="429" t="s">
        <v>316</v>
      </c>
      <c r="C213" s="429"/>
      <c r="D213" s="429"/>
      <c r="E213" s="429"/>
      <c r="F213" s="429"/>
      <c r="G213" s="133"/>
      <c r="H213" s="132"/>
      <c r="I213" s="430" t="s">
        <v>315</v>
      </c>
      <c r="J213" s="430"/>
      <c r="K213" s="430"/>
      <c r="L213" s="430"/>
      <c r="M213" s="430"/>
    </row>
    <row r="214" spans="1:13" ht="15">
      <c r="A214" s="131"/>
      <c r="B214" s="431" t="s">
        <v>314</v>
      </c>
      <c r="C214" s="431"/>
      <c r="D214" s="431"/>
      <c r="E214" s="431"/>
      <c r="F214" s="431"/>
      <c r="G214" s="134"/>
      <c r="H214" s="135"/>
      <c r="I214" s="431" t="s">
        <v>313</v>
      </c>
      <c r="J214" s="431"/>
      <c r="K214" s="431"/>
      <c r="L214" s="431"/>
      <c r="M214" s="431"/>
    </row>
    <row r="215" spans="2:7" ht="16.5">
      <c r="B215" s="427" t="s">
        <v>312</v>
      </c>
      <c r="C215" s="427"/>
      <c r="D215" s="427"/>
      <c r="E215" s="427"/>
      <c r="F215" s="427"/>
      <c r="G215" s="136"/>
    </row>
    <row r="216" spans="2:7" ht="16.5">
      <c r="B216" s="137"/>
      <c r="C216" s="136"/>
      <c r="D216" s="136"/>
      <c r="E216" s="136"/>
      <c r="F216" s="138"/>
      <c r="G216" s="138"/>
    </row>
    <row r="217" spans="2:7" ht="16.5">
      <c r="B217" s="137"/>
      <c r="C217" s="136"/>
      <c r="D217" s="136"/>
      <c r="E217" s="136"/>
      <c r="F217" s="138"/>
      <c r="G217" s="138"/>
    </row>
    <row r="218" ht="15"/>
    <row r="219" ht="15"/>
    <row r="220" ht="15"/>
    <row r="221" ht="15"/>
  </sheetData>
  <sheetProtection deleteColumns="0" deleteRows="0"/>
  <mergeCells count="662">
    <mergeCell ref="A39:E39"/>
    <mergeCell ref="A126:E126"/>
    <mergeCell ref="A127:E127"/>
    <mergeCell ref="A105:E105"/>
    <mergeCell ref="A106:E106"/>
    <mergeCell ref="A107:E107"/>
    <mergeCell ref="A108:E108"/>
    <mergeCell ref="A112:E112"/>
    <mergeCell ref="A113:E113"/>
    <mergeCell ref="A89:E89"/>
    <mergeCell ref="A131:E131"/>
    <mergeCell ref="A119:E119"/>
    <mergeCell ref="A120:E120"/>
    <mergeCell ref="A122:E122"/>
    <mergeCell ref="A123:E123"/>
    <mergeCell ref="A124:E124"/>
    <mergeCell ref="A125:E125"/>
    <mergeCell ref="A128:E128"/>
    <mergeCell ref="A130:E130"/>
    <mergeCell ref="F194:H194"/>
    <mergeCell ref="I194:J194"/>
    <mergeCell ref="K194:L194"/>
    <mergeCell ref="B46:E46"/>
    <mergeCell ref="A48:E48"/>
    <mergeCell ref="A49:E49"/>
    <mergeCell ref="A50:E50"/>
    <mergeCell ref="A51:E51"/>
    <mergeCell ref="A92:E92"/>
    <mergeCell ref="A96:E96"/>
    <mergeCell ref="A194:E194"/>
    <mergeCell ref="F191:H191"/>
    <mergeCell ref="I191:J191"/>
    <mergeCell ref="K191:L191"/>
    <mergeCell ref="F192:H192"/>
    <mergeCell ref="I192:J192"/>
    <mergeCell ref="K192:L192"/>
    <mergeCell ref="A191:E191"/>
    <mergeCell ref="A192:E192"/>
    <mergeCell ref="F193:H193"/>
    <mergeCell ref="F190:H190"/>
    <mergeCell ref="I190:J190"/>
    <mergeCell ref="K190:L190"/>
    <mergeCell ref="A193:E193"/>
    <mergeCell ref="I193:J193"/>
    <mergeCell ref="K193:L193"/>
    <mergeCell ref="A190:E190"/>
    <mergeCell ref="F187:H187"/>
    <mergeCell ref="I187:J187"/>
    <mergeCell ref="K187:L187"/>
    <mergeCell ref="F188:H188"/>
    <mergeCell ref="I188:J188"/>
    <mergeCell ref="K188:L188"/>
    <mergeCell ref="I186:J186"/>
    <mergeCell ref="K186:L186"/>
    <mergeCell ref="A189:E189"/>
    <mergeCell ref="I189:J189"/>
    <mergeCell ref="K189:L189"/>
    <mergeCell ref="A186:E186"/>
    <mergeCell ref="A187:E187"/>
    <mergeCell ref="A188:E188"/>
    <mergeCell ref="F189:H189"/>
    <mergeCell ref="F186:H186"/>
    <mergeCell ref="F183:H183"/>
    <mergeCell ref="I183:J183"/>
    <mergeCell ref="K183:L183"/>
    <mergeCell ref="F184:H184"/>
    <mergeCell ref="I184:J184"/>
    <mergeCell ref="K184:L184"/>
    <mergeCell ref="I182:J182"/>
    <mergeCell ref="K182:L182"/>
    <mergeCell ref="A185:E185"/>
    <mergeCell ref="I185:J185"/>
    <mergeCell ref="K185:L185"/>
    <mergeCell ref="A182:E182"/>
    <mergeCell ref="A183:E183"/>
    <mergeCell ref="A184:E184"/>
    <mergeCell ref="F185:H185"/>
    <mergeCell ref="F182:H182"/>
    <mergeCell ref="F179:H179"/>
    <mergeCell ref="I179:J179"/>
    <mergeCell ref="K179:L179"/>
    <mergeCell ref="F180:H180"/>
    <mergeCell ref="I180:J180"/>
    <mergeCell ref="K180:L180"/>
    <mergeCell ref="I178:J178"/>
    <mergeCell ref="K178:L178"/>
    <mergeCell ref="A181:E181"/>
    <mergeCell ref="I181:J181"/>
    <mergeCell ref="K181:L181"/>
    <mergeCell ref="A178:E178"/>
    <mergeCell ref="A179:E179"/>
    <mergeCell ref="A180:E180"/>
    <mergeCell ref="F181:H181"/>
    <mergeCell ref="F178:H178"/>
    <mergeCell ref="F175:H175"/>
    <mergeCell ref="I175:J175"/>
    <mergeCell ref="K175:L175"/>
    <mergeCell ref="F176:H176"/>
    <mergeCell ref="I176:J176"/>
    <mergeCell ref="K176:L176"/>
    <mergeCell ref="I174:J174"/>
    <mergeCell ref="K174:L174"/>
    <mergeCell ref="A177:E177"/>
    <mergeCell ref="I177:J177"/>
    <mergeCell ref="K177:L177"/>
    <mergeCell ref="A174:E174"/>
    <mergeCell ref="A175:E175"/>
    <mergeCell ref="A176:E176"/>
    <mergeCell ref="F177:H177"/>
    <mergeCell ref="F174:H174"/>
    <mergeCell ref="F171:H171"/>
    <mergeCell ref="I171:J171"/>
    <mergeCell ref="K171:L171"/>
    <mergeCell ref="F172:H172"/>
    <mergeCell ref="I172:J172"/>
    <mergeCell ref="K172:L172"/>
    <mergeCell ref="I170:J170"/>
    <mergeCell ref="K170:L170"/>
    <mergeCell ref="A173:E173"/>
    <mergeCell ref="I173:J173"/>
    <mergeCell ref="K173:L173"/>
    <mergeCell ref="A170:E170"/>
    <mergeCell ref="A171:E171"/>
    <mergeCell ref="A172:E172"/>
    <mergeCell ref="F173:H173"/>
    <mergeCell ref="F170:H170"/>
    <mergeCell ref="F167:H167"/>
    <mergeCell ref="I167:J167"/>
    <mergeCell ref="K167:L167"/>
    <mergeCell ref="F168:H168"/>
    <mergeCell ref="I168:J168"/>
    <mergeCell ref="K168:L168"/>
    <mergeCell ref="I166:J166"/>
    <mergeCell ref="K166:L166"/>
    <mergeCell ref="A169:E169"/>
    <mergeCell ref="I169:J169"/>
    <mergeCell ref="K169:L169"/>
    <mergeCell ref="A166:E166"/>
    <mergeCell ref="A167:E167"/>
    <mergeCell ref="A168:E168"/>
    <mergeCell ref="F169:H169"/>
    <mergeCell ref="F166:H166"/>
    <mergeCell ref="F163:H163"/>
    <mergeCell ref="I163:J163"/>
    <mergeCell ref="K163:L163"/>
    <mergeCell ref="F164:H164"/>
    <mergeCell ref="I164:J164"/>
    <mergeCell ref="K164:L164"/>
    <mergeCell ref="I162:J162"/>
    <mergeCell ref="K162:L162"/>
    <mergeCell ref="A165:E165"/>
    <mergeCell ref="I165:J165"/>
    <mergeCell ref="K165:L165"/>
    <mergeCell ref="A162:E162"/>
    <mergeCell ref="A163:E163"/>
    <mergeCell ref="A164:E164"/>
    <mergeCell ref="F165:H165"/>
    <mergeCell ref="F162:H162"/>
    <mergeCell ref="F159:H159"/>
    <mergeCell ref="I159:J159"/>
    <mergeCell ref="K159:L159"/>
    <mergeCell ref="F160:H160"/>
    <mergeCell ref="I160:J160"/>
    <mergeCell ref="K160:L160"/>
    <mergeCell ref="I158:J158"/>
    <mergeCell ref="K158:L158"/>
    <mergeCell ref="A161:E161"/>
    <mergeCell ref="I161:J161"/>
    <mergeCell ref="K161:L161"/>
    <mergeCell ref="A158:E158"/>
    <mergeCell ref="A159:E159"/>
    <mergeCell ref="A160:E160"/>
    <mergeCell ref="F161:H161"/>
    <mergeCell ref="F158:H158"/>
    <mergeCell ref="F155:H155"/>
    <mergeCell ref="I155:J155"/>
    <mergeCell ref="K155:L155"/>
    <mergeCell ref="F156:H156"/>
    <mergeCell ref="I156:J156"/>
    <mergeCell ref="K156:L156"/>
    <mergeCell ref="I154:J154"/>
    <mergeCell ref="K154:L154"/>
    <mergeCell ref="A157:E157"/>
    <mergeCell ref="I157:J157"/>
    <mergeCell ref="K157:L157"/>
    <mergeCell ref="A154:E154"/>
    <mergeCell ref="A155:E155"/>
    <mergeCell ref="A156:E156"/>
    <mergeCell ref="F157:H157"/>
    <mergeCell ref="F154:H154"/>
    <mergeCell ref="F151:H151"/>
    <mergeCell ref="I151:J151"/>
    <mergeCell ref="K151:L151"/>
    <mergeCell ref="F152:H152"/>
    <mergeCell ref="I152:J152"/>
    <mergeCell ref="K152:L152"/>
    <mergeCell ref="I150:J150"/>
    <mergeCell ref="K150:L150"/>
    <mergeCell ref="A153:E153"/>
    <mergeCell ref="I153:J153"/>
    <mergeCell ref="K153:L153"/>
    <mergeCell ref="A150:E150"/>
    <mergeCell ref="A151:E151"/>
    <mergeCell ref="A152:E152"/>
    <mergeCell ref="F153:H153"/>
    <mergeCell ref="F150:H150"/>
    <mergeCell ref="F149:H149"/>
    <mergeCell ref="F146:H146"/>
    <mergeCell ref="F147:H147"/>
    <mergeCell ref="I147:J147"/>
    <mergeCell ref="K147:L147"/>
    <mergeCell ref="F148:H148"/>
    <mergeCell ref="I148:J148"/>
    <mergeCell ref="K148:L148"/>
    <mergeCell ref="I144:J144"/>
    <mergeCell ref="K144:L144"/>
    <mergeCell ref="I146:J146"/>
    <mergeCell ref="K146:L146"/>
    <mergeCell ref="A149:E149"/>
    <mergeCell ref="I149:J149"/>
    <mergeCell ref="K149:L149"/>
    <mergeCell ref="A146:E146"/>
    <mergeCell ref="A147:E147"/>
    <mergeCell ref="A148:E148"/>
    <mergeCell ref="A145:E145"/>
    <mergeCell ref="I145:J145"/>
    <mergeCell ref="K145:L145"/>
    <mergeCell ref="A143:E143"/>
    <mergeCell ref="A144:E144"/>
    <mergeCell ref="F145:H145"/>
    <mergeCell ref="F143:H143"/>
    <mergeCell ref="I143:J143"/>
    <mergeCell ref="K143:L143"/>
    <mergeCell ref="F144:H144"/>
    <mergeCell ref="A140:E140"/>
    <mergeCell ref="F141:H141"/>
    <mergeCell ref="I141:J141"/>
    <mergeCell ref="K141:L141"/>
    <mergeCell ref="I142:J142"/>
    <mergeCell ref="K142:L142"/>
    <mergeCell ref="F142:H142"/>
    <mergeCell ref="K138:L138"/>
    <mergeCell ref="A141:E141"/>
    <mergeCell ref="A142:E142"/>
    <mergeCell ref="F139:H139"/>
    <mergeCell ref="I139:J139"/>
    <mergeCell ref="K139:L139"/>
    <mergeCell ref="F140:H140"/>
    <mergeCell ref="I140:J140"/>
    <mergeCell ref="K140:L140"/>
    <mergeCell ref="A139:E139"/>
    <mergeCell ref="F135:H135"/>
    <mergeCell ref="I135:J135"/>
    <mergeCell ref="A135:E135"/>
    <mergeCell ref="F138:H138"/>
    <mergeCell ref="I138:J138"/>
    <mergeCell ref="A137:E137"/>
    <mergeCell ref="I137:J137"/>
    <mergeCell ref="F136:H136"/>
    <mergeCell ref="I136:J136"/>
    <mergeCell ref="K137:L137"/>
    <mergeCell ref="A136:E136"/>
    <mergeCell ref="F137:H137"/>
    <mergeCell ref="K133:L133"/>
    <mergeCell ref="F134:H134"/>
    <mergeCell ref="I134:J134"/>
    <mergeCell ref="K134:L134"/>
    <mergeCell ref="A134:E134"/>
    <mergeCell ref="K135:L135"/>
    <mergeCell ref="K136:L136"/>
    <mergeCell ref="K129:L129"/>
    <mergeCell ref="F130:H130"/>
    <mergeCell ref="I130:J130"/>
    <mergeCell ref="K130:L130"/>
    <mergeCell ref="K131:L131"/>
    <mergeCell ref="F132:H132"/>
    <mergeCell ref="I132:J132"/>
    <mergeCell ref="K132:L132"/>
    <mergeCell ref="K128:L128"/>
    <mergeCell ref="A132:E132"/>
    <mergeCell ref="F133:H133"/>
    <mergeCell ref="F129:H129"/>
    <mergeCell ref="I129:J129"/>
    <mergeCell ref="F131:H131"/>
    <mergeCell ref="I131:J131"/>
    <mergeCell ref="I133:J133"/>
    <mergeCell ref="A133:E133"/>
    <mergeCell ref="A129:E129"/>
    <mergeCell ref="A118:E118"/>
    <mergeCell ref="A90:E90"/>
    <mergeCell ref="A91:E91"/>
    <mergeCell ref="A97:E97"/>
    <mergeCell ref="A93:E93"/>
    <mergeCell ref="A116:E116"/>
    <mergeCell ref="A95:E95"/>
    <mergeCell ref="A100:E100"/>
    <mergeCell ref="F124:H124"/>
    <mergeCell ref="I124:J124"/>
    <mergeCell ref="I113:J113"/>
    <mergeCell ref="F116:H116"/>
    <mergeCell ref="F114:H114"/>
    <mergeCell ref="F123:H123"/>
    <mergeCell ref="I123:J123"/>
    <mergeCell ref="F118:H118"/>
    <mergeCell ref="K117:L117"/>
    <mergeCell ref="I116:J116"/>
    <mergeCell ref="K116:L116"/>
    <mergeCell ref="F115:H115"/>
    <mergeCell ref="F117:H117"/>
    <mergeCell ref="K115:L115"/>
    <mergeCell ref="I115:J115"/>
    <mergeCell ref="I117:J117"/>
    <mergeCell ref="A109:E109"/>
    <mergeCell ref="A110:E110"/>
    <mergeCell ref="A111:E111"/>
    <mergeCell ref="F112:H112"/>
    <mergeCell ref="F111:H111"/>
    <mergeCell ref="A114:E114"/>
    <mergeCell ref="A115:E115"/>
    <mergeCell ref="F113:H113"/>
    <mergeCell ref="A117:E117"/>
    <mergeCell ref="K120:L120"/>
    <mergeCell ref="I118:J118"/>
    <mergeCell ref="K118:L118"/>
    <mergeCell ref="F119:H119"/>
    <mergeCell ref="I119:J119"/>
    <mergeCell ref="K119:L119"/>
    <mergeCell ref="F120:H120"/>
    <mergeCell ref="I120:J120"/>
    <mergeCell ref="I99:J99"/>
    <mergeCell ref="I97:J97"/>
    <mergeCell ref="F109:H109"/>
    <mergeCell ref="I109:J109"/>
    <mergeCell ref="K109:L109"/>
    <mergeCell ref="F110:H110"/>
    <mergeCell ref="A88:E88"/>
    <mergeCell ref="F88:H88"/>
    <mergeCell ref="F85:H85"/>
    <mergeCell ref="I85:J85"/>
    <mergeCell ref="F86:H86"/>
    <mergeCell ref="K102:L102"/>
    <mergeCell ref="I96:J96"/>
    <mergeCell ref="F101:H101"/>
    <mergeCell ref="I101:J101"/>
    <mergeCell ref="K101:L101"/>
    <mergeCell ref="A94:E94"/>
    <mergeCell ref="F78:H78"/>
    <mergeCell ref="I78:J78"/>
    <mergeCell ref="K78:L78"/>
    <mergeCell ref="A87:E87"/>
    <mergeCell ref="K85:L85"/>
    <mergeCell ref="K86:L86"/>
    <mergeCell ref="F82:H82"/>
    <mergeCell ref="I82:J82"/>
    <mergeCell ref="K82:L82"/>
    <mergeCell ref="K112:L112"/>
    <mergeCell ref="I112:J112"/>
    <mergeCell ref="F102:H102"/>
    <mergeCell ref="A101:E101"/>
    <mergeCell ref="F96:H96"/>
    <mergeCell ref="F93:H93"/>
    <mergeCell ref="A102:E102"/>
    <mergeCell ref="F99:H99"/>
    <mergeCell ref="A99:E99"/>
    <mergeCell ref="A98:E98"/>
    <mergeCell ref="F107:H107"/>
    <mergeCell ref="I107:J107"/>
    <mergeCell ref="K107:L107"/>
    <mergeCell ref="K113:L113"/>
    <mergeCell ref="K114:L114"/>
    <mergeCell ref="I114:J114"/>
    <mergeCell ref="I110:J110"/>
    <mergeCell ref="K110:L110"/>
    <mergeCell ref="I111:J111"/>
    <mergeCell ref="K111:L111"/>
    <mergeCell ref="I106:J106"/>
    <mergeCell ref="I103:J103"/>
    <mergeCell ref="F105:H105"/>
    <mergeCell ref="I105:J105"/>
    <mergeCell ref="F103:H103"/>
    <mergeCell ref="K106:L106"/>
    <mergeCell ref="F104:H104"/>
    <mergeCell ref="I104:J104"/>
    <mergeCell ref="K104:L104"/>
    <mergeCell ref="K97:L97"/>
    <mergeCell ref="K105:L105"/>
    <mergeCell ref="A103:E103"/>
    <mergeCell ref="A104:E104"/>
    <mergeCell ref="K103:L103"/>
    <mergeCell ref="F108:H108"/>
    <mergeCell ref="I108:J108"/>
    <mergeCell ref="K108:L108"/>
    <mergeCell ref="I102:J102"/>
    <mergeCell ref="F106:H106"/>
    <mergeCell ref="K99:L99"/>
    <mergeCell ref="F100:H100"/>
    <mergeCell ref="I100:J100"/>
    <mergeCell ref="K100:L100"/>
    <mergeCell ref="I94:J94"/>
    <mergeCell ref="K96:L96"/>
    <mergeCell ref="F97:H97"/>
    <mergeCell ref="I98:J98"/>
    <mergeCell ref="K98:L98"/>
    <mergeCell ref="F98:H98"/>
    <mergeCell ref="I93:J93"/>
    <mergeCell ref="K93:L93"/>
    <mergeCell ref="K94:L94"/>
    <mergeCell ref="F95:H95"/>
    <mergeCell ref="I95:J95"/>
    <mergeCell ref="K95:L95"/>
    <mergeCell ref="F94:H94"/>
    <mergeCell ref="F90:H90"/>
    <mergeCell ref="I90:J90"/>
    <mergeCell ref="K90:L90"/>
    <mergeCell ref="F91:H91"/>
    <mergeCell ref="I91:J91"/>
    <mergeCell ref="K91:L91"/>
    <mergeCell ref="F92:H92"/>
    <mergeCell ref="I92:J92"/>
    <mergeCell ref="K92:L92"/>
    <mergeCell ref="F87:H87"/>
    <mergeCell ref="I87:J87"/>
    <mergeCell ref="K87:L87"/>
    <mergeCell ref="F89:H89"/>
    <mergeCell ref="I89:J89"/>
    <mergeCell ref="K89:L89"/>
    <mergeCell ref="I88:J88"/>
    <mergeCell ref="A86:E86"/>
    <mergeCell ref="F83:H83"/>
    <mergeCell ref="I83:J83"/>
    <mergeCell ref="A83:E83"/>
    <mergeCell ref="A84:E84"/>
    <mergeCell ref="I86:J86"/>
    <mergeCell ref="F84:H84"/>
    <mergeCell ref="I84:J84"/>
    <mergeCell ref="A85:E85"/>
    <mergeCell ref="K84:L84"/>
    <mergeCell ref="F80:H80"/>
    <mergeCell ref="I80:J80"/>
    <mergeCell ref="K80:L80"/>
    <mergeCell ref="K81:L81"/>
    <mergeCell ref="K88:L88"/>
    <mergeCell ref="K83:L83"/>
    <mergeCell ref="K77:L77"/>
    <mergeCell ref="A81:E81"/>
    <mergeCell ref="A82:E82"/>
    <mergeCell ref="F79:H79"/>
    <mergeCell ref="I79:J79"/>
    <mergeCell ref="A79:E79"/>
    <mergeCell ref="A80:E80"/>
    <mergeCell ref="F81:H81"/>
    <mergeCell ref="I81:J81"/>
    <mergeCell ref="K79:L79"/>
    <mergeCell ref="A77:E77"/>
    <mergeCell ref="F74:H74"/>
    <mergeCell ref="I74:J74"/>
    <mergeCell ref="A74:E74"/>
    <mergeCell ref="A75:E75"/>
    <mergeCell ref="F76:H76"/>
    <mergeCell ref="F75:H75"/>
    <mergeCell ref="I75:J75"/>
    <mergeCell ref="F77:H77"/>
    <mergeCell ref="I77:J77"/>
    <mergeCell ref="A76:E76"/>
    <mergeCell ref="K74:L74"/>
    <mergeCell ref="K75:L75"/>
    <mergeCell ref="K76:L76"/>
    <mergeCell ref="A72:E72"/>
    <mergeCell ref="F72:H72"/>
    <mergeCell ref="A73:E73"/>
    <mergeCell ref="K70:L70"/>
    <mergeCell ref="F71:H71"/>
    <mergeCell ref="I71:J71"/>
    <mergeCell ref="K71:L71"/>
    <mergeCell ref="F70:H70"/>
    <mergeCell ref="K73:L73"/>
    <mergeCell ref="I72:J72"/>
    <mergeCell ref="K72:L72"/>
    <mergeCell ref="K68:L68"/>
    <mergeCell ref="A66:E66"/>
    <mergeCell ref="F67:H67"/>
    <mergeCell ref="K69:L69"/>
    <mergeCell ref="A67:E67"/>
    <mergeCell ref="A68:E68"/>
    <mergeCell ref="A69:E69"/>
    <mergeCell ref="I68:J68"/>
    <mergeCell ref="F69:H69"/>
    <mergeCell ref="I67:J67"/>
    <mergeCell ref="K67:L67"/>
    <mergeCell ref="B43:E44"/>
    <mergeCell ref="A43:A44"/>
    <mergeCell ref="A61:E61"/>
    <mergeCell ref="A62:E62"/>
    <mergeCell ref="A63:E63"/>
    <mergeCell ref="A24:M24"/>
    <mergeCell ref="A3:D3"/>
    <mergeCell ref="A4:D4"/>
    <mergeCell ref="A25:M25"/>
    <mergeCell ref="A26:M26"/>
    <mergeCell ref="A28:A29"/>
    <mergeCell ref="B33:E33"/>
    <mergeCell ref="B34:E34"/>
    <mergeCell ref="F28:F29"/>
    <mergeCell ref="G28:G29"/>
    <mergeCell ref="B28:E29"/>
    <mergeCell ref="K1:M1"/>
    <mergeCell ref="A6:M6"/>
    <mergeCell ref="A7:M7"/>
    <mergeCell ref="A8:M8"/>
    <mergeCell ref="A10:M10"/>
    <mergeCell ref="M28:M29"/>
    <mergeCell ref="B30:E30"/>
    <mergeCell ref="B31:E31"/>
    <mergeCell ref="B32:E32"/>
    <mergeCell ref="H28:H29"/>
    <mergeCell ref="I28:J28"/>
    <mergeCell ref="K28:L28"/>
    <mergeCell ref="B35:E35"/>
    <mergeCell ref="B36:E36"/>
    <mergeCell ref="F65:H65"/>
    <mergeCell ref="I65:J65"/>
    <mergeCell ref="A40:M40"/>
    <mergeCell ref="A41:M41"/>
    <mergeCell ref="A64:E64"/>
    <mergeCell ref="A65:E65"/>
    <mergeCell ref="B37:E37"/>
    <mergeCell ref="B38:E38"/>
    <mergeCell ref="K49:L49"/>
    <mergeCell ref="K43:L43"/>
    <mergeCell ref="F48:H48"/>
    <mergeCell ref="I48:J48"/>
    <mergeCell ref="M43:M44"/>
    <mergeCell ref="F43:F44"/>
    <mergeCell ref="G43:G44"/>
    <mergeCell ref="H43:H44"/>
    <mergeCell ref="I43:J43"/>
    <mergeCell ref="K48:L48"/>
    <mergeCell ref="A52:E52"/>
    <mergeCell ref="F52:H52"/>
    <mergeCell ref="I52:J52"/>
    <mergeCell ref="K52:L52"/>
    <mergeCell ref="B45:E45"/>
    <mergeCell ref="F50:H50"/>
    <mergeCell ref="I50:J50"/>
    <mergeCell ref="K50:L50"/>
    <mergeCell ref="F49:H49"/>
    <mergeCell ref="I49:J49"/>
    <mergeCell ref="F51:H51"/>
    <mergeCell ref="I51:J51"/>
    <mergeCell ref="K51:L51"/>
    <mergeCell ref="F55:H55"/>
    <mergeCell ref="I55:J55"/>
    <mergeCell ref="F53:H53"/>
    <mergeCell ref="I53:J53"/>
    <mergeCell ref="K53:L53"/>
    <mergeCell ref="K55:L55"/>
    <mergeCell ref="F54:H54"/>
    <mergeCell ref="K57:L57"/>
    <mergeCell ref="F58:H58"/>
    <mergeCell ref="I58:J58"/>
    <mergeCell ref="I54:J54"/>
    <mergeCell ref="K54:L54"/>
    <mergeCell ref="A53:E53"/>
    <mergeCell ref="A54:E54"/>
    <mergeCell ref="K58:L58"/>
    <mergeCell ref="F57:H57"/>
    <mergeCell ref="F59:H59"/>
    <mergeCell ref="I59:J59"/>
    <mergeCell ref="A55:E55"/>
    <mergeCell ref="A56:E56"/>
    <mergeCell ref="K59:L59"/>
    <mergeCell ref="F56:H56"/>
    <mergeCell ref="I56:J56"/>
    <mergeCell ref="K56:L56"/>
    <mergeCell ref="F61:H61"/>
    <mergeCell ref="I61:J61"/>
    <mergeCell ref="A57:E57"/>
    <mergeCell ref="A58:E58"/>
    <mergeCell ref="A59:E59"/>
    <mergeCell ref="I57:J57"/>
    <mergeCell ref="A60:E60"/>
    <mergeCell ref="F126:H126"/>
    <mergeCell ref="I126:J126"/>
    <mergeCell ref="K126:L126"/>
    <mergeCell ref="K62:L62"/>
    <mergeCell ref="F60:H60"/>
    <mergeCell ref="I60:J60"/>
    <mergeCell ref="K60:L60"/>
    <mergeCell ref="K61:L61"/>
    <mergeCell ref="F62:H62"/>
    <mergeCell ref="I62:J62"/>
    <mergeCell ref="F68:H68"/>
    <mergeCell ref="A70:E70"/>
    <mergeCell ref="A71:E71"/>
    <mergeCell ref="K201:L201"/>
    <mergeCell ref="F122:H122"/>
    <mergeCell ref="I122:J122"/>
    <mergeCell ref="K122:L122"/>
    <mergeCell ref="F125:H125"/>
    <mergeCell ref="I125:J125"/>
    <mergeCell ref="K125:L125"/>
    <mergeCell ref="K63:L63"/>
    <mergeCell ref="K64:L64"/>
    <mergeCell ref="F66:H66"/>
    <mergeCell ref="I66:J66"/>
    <mergeCell ref="K66:L66"/>
    <mergeCell ref="F63:H63"/>
    <mergeCell ref="I63:J63"/>
    <mergeCell ref="F64:H64"/>
    <mergeCell ref="I64:J64"/>
    <mergeCell ref="K65:L65"/>
    <mergeCell ref="I69:J69"/>
    <mergeCell ref="I73:J73"/>
    <mergeCell ref="I76:J76"/>
    <mergeCell ref="I200:J200"/>
    <mergeCell ref="I70:J70"/>
    <mergeCell ref="A199:M199"/>
    <mergeCell ref="K200:L200"/>
    <mergeCell ref="A121:M121"/>
    <mergeCell ref="A78:E78"/>
    <mergeCell ref="F73:H73"/>
    <mergeCell ref="F128:H128"/>
    <mergeCell ref="I128:J128"/>
    <mergeCell ref="A200:E200"/>
    <mergeCell ref="A201:E201"/>
    <mergeCell ref="A202:E202"/>
    <mergeCell ref="F201:H201"/>
    <mergeCell ref="F200:H200"/>
    <mergeCell ref="F202:H202"/>
    <mergeCell ref="I201:J201"/>
    <mergeCell ref="A138:E138"/>
    <mergeCell ref="A203:E203"/>
    <mergeCell ref="A204:E204"/>
    <mergeCell ref="K123:L123"/>
    <mergeCell ref="A196:M196"/>
    <mergeCell ref="A197:M197"/>
    <mergeCell ref="A198:M198"/>
    <mergeCell ref="K124:L124"/>
    <mergeCell ref="F127:H127"/>
    <mergeCell ref="I127:J127"/>
    <mergeCell ref="K127:L127"/>
    <mergeCell ref="I202:J202"/>
    <mergeCell ref="K202:L202"/>
    <mergeCell ref="F203:H203"/>
    <mergeCell ref="I203:J203"/>
    <mergeCell ref="K203:L203"/>
    <mergeCell ref="F204:H204"/>
    <mergeCell ref="I204:J204"/>
    <mergeCell ref="K204:L204"/>
    <mergeCell ref="B215:F215"/>
    <mergeCell ref="A210:M210"/>
    <mergeCell ref="A211:M211"/>
    <mergeCell ref="B213:F213"/>
    <mergeCell ref="I213:M213"/>
    <mergeCell ref="B214:F214"/>
    <mergeCell ref="I214:M214"/>
    <mergeCell ref="A209:M209"/>
    <mergeCell ref="A205:E205"/>
    <mergeCell ref="F205:H205"/>
    <mergeCell ref="I205:J205"/>
    <mergeCell ref="K205:L205"/>
    <mergeCell ref="A207:M207"/>
  </mergeCells>
  <conditionalFormatting sqref="A30:M38">
    <cfRule type="expression" priority="2" dxfId="6" stopIfTrue="1">
      <formula>LEFT($A30)="K"</formula>
    </cfRule>
  </conditionalFormatting>
  <printOptions/>
  <pageMargins left="0.82" right="0.34" top="0.3937007874015748" bottom="0.5118110236220472" header="0.31496062992125984" footer="0.2"/>
  <pageSetup fitToHeight="0" fitToWidth="1" horizontalDpi="600" verticalDpi="600" orientation="portrait" paperSize="9" scale="96" r:id="rId2"/>
  <headerFooter>
    <oddFooter>&amp;CTrang &amp;P</oddFooter>
  </headerFooter>
  <drawing r:id="rId1"/>
</worksheet>
</file>

<file path=xl/worksheets/sheet8.xml><?xml version="1.0" encoding="utf-8"?>
<worksheet xmlns="http://schemas.openxmlformats.org/spreadsheetml/2006/main" xmlns:r="http://schemas.openxmlformats.org/officeDocument/2006/relationships">
  <sheetPr codeName="Sheet4"/>
  <dimension ref="A1:V90"/>
  <sheetViews>
    <sheetView zoomScale="70" zoomScaleNormal="70" zoomScalePageLayoutView="0" workbookViewId="0" topLeftCell="A3">
      <pane xSplit="3" ySplit="9" topLeftCell="D12" activePane="bottomRight" state="frozen"/>
      <selection pane="topLeft" activeCell="A3" sqref="A3"/>
      <selection pane="topRight" activeCell="D3" sqref="D3"/>
      <selection pane="bottomLeft" activeCell="A12" sqref="A12"/>
      <selection pane="bottomRight" activeCell="N20" sqref="N20"/>
    </sheetView>
  </sheetViews>
  <sheetFormatPr defaultColWidth="9.00390625" defaultRowHeight="15.75"/>
  <cols>
    <col min="1" max="1" width="5.125" style="149" customWidth="1"/>
    <col min="2" max="2" width="22.50390625" style="149" customWidth="1"/>
    <col min="3" max="3" width="6.125" style="149" customWidth="1"/>
    <col min="4" max="4" width="9.00390625" style="149" customWidth="1"/>
    <col min="5" max="5" width="7.00390625" style="149" customWidth="1"/>
    <col min="6" max="6" width="14.875" style="149" customWidth="1"/>
    <col min="7" max="7" width="9.875" style="149" customWidth="1"/>
    <col min="8" max="19" width="9.00390625" style="149" customWidth="1"/>
    <col min="20" max="22" width="9.00390625" style="149" hidden="1" customWidth="1"/>
    <col min="23" max="23" width="9.00390625" style="149" customWidth="1"/>
    <col min="24" max="24" width="6.625" style="149" customWidth="1"/>
    <col min="25" max="16384" width="9.00390625" style="149" customWidth="1"/>
  </cols>
  <sheetData>
    <row r="1" spans="1:19" ht="15.75">
      <c r="A1" s="293"/>
      <c r="B1" s="293"/>
      <c r="C1" s="293"/>
      <c r="D1" s="293"/>
      <c r="E1" s="293"/>
      <c r="F1" s="293"/>
      <c r="G1" s="293"/>
      <c r="H1" s="293"/>
      <c r="I1" s="293"/>
      <c r="J1" s="293"/>
      <c r="K1" s="293"/>
      <c r="L1" s="293"/>
      <c r="M1" s="293"/>
      <c r="N1" s="293"/>
      <c r="O1" s="294"/>
      <c r="P1" s="293"/>
      <c r="Q1" s="295" t="s">
        <v>407</v>
      </c>
      <c r="R1" s="294"/>
      <c r="S1" s="296"/>
    </row>
    <row r="2" spans="1:19" ht="15.75">
      <c r="A2" s="491" t="s">
        <v>0</v>
      </c>
      <c r="B2" s="491"/>
      <c r="C2" s="491"/>
      <c r="D2" s="491"/>
      <c r="E2" s="297"/>
      <c r="F2" s="293"/>
      <c r="G2" s="298"/>
      <c r="H2" s="492" t="s">
        <v>311</v>
      </c>
      <c r="I2" s="492"/>
      <c r="J2" s="492"/>
      <c r="K2" s="492"/>
      <c r="L2" s="492"/>
      <c r="M2" s="492"/>
      <c r="N2" s="492"/>
      <c r="O2" s="492"/>
      <c r="P2" s="298"/>
      <c r="Q2" s="298"/>
      <c r="R2" s="293"/>
      <c r="S2" s="293"/>
    </row>
    <row r="3" spans="1:19" ht="15.75">
      <c r="A3" s="493" t="str">
        <f>"ĐƠN VỊ BẦU CỬ: "&amp;UPPER(TenXa)</f>
        <v>ĐƠN VỊ BẦU CỬ: XÃ HƯỚNG PHÙNG</v>
      </c>
      <c r="B3" s="493"/>
      <c r="C3" s="493"/>
      <c r="D3" s="493"/>
      <c r="E3" s="305"/>
      <c r="F3" s="306"/>
      <c r="G3" s="307"/>
      <c r="H3" s="493" t="s">
        <v>310</v>
      </c>
      <c r="I3" s="493"/>
      <c r="J3" s="493"/>
      <c r="K3" s="493"/>
      <c r="L3" s="493"/>
      <c r="M3" s="493"/>
      <c r="N3" s="493"/>
      <c r="O3" s="493"/>
      <c r="P3" s="307"/>
      <c r="Q3" s="307"/>
      <c r="R3" s="306"/>
      <c r="S3" s="306"/>
    </row>
    <row r="4" spans="1:19" ht="18.75">
      <c r="A4" s="308"/>
      <c r="B4" s="308"/>
      <c r="C4" s="308"/>
      <c r="D4" s="308"/>
      <c r="E4" s="308"/>
      <c r="F4" s="306"/>
      <c r="G4" s="309"/>
      <c r="H4" s="494"/>
      <c r="I4" s="494"/>
      <c r="J4" s="494"/>
      <c r="K4" s="494"/>
      <c r="L4" s="494"/>
      <c r="M4" s="494"/>
      <c r="N4" s="309"/>
      <c r="O4" s="309"/>
      <c r="P4" s="309"/>
      <c r="Q4" s="309"/>
      <c r="R4" s="306"/>
      <c r="S4" s="306"/>
    </row>
    <row r="5" spans="1:19" ht="16.5">
      <c r="A5" s="495" t="s">
        <v>309</v>
      </c>
      <c r="B5" s="495"/>
      <c r="C5" s="495"/>
      <c r="D5" s="495"/>
      <c r="E5" s="495"/>
      <c r="F5" s="495"/>
      <c r="G5" s="495"/>
      <c r="H5" s="495"/>
      <c r="I5" s="495"/>
      <c r="J5" s="495"/>
      <c r="K5" s="495"/>
      <c r="L5" s="495"/>
      <c r="M5" s="495"/>
      <c r="N5" s="495"/>
      <c r="O5" s="495"/>
      <c r="P5" s="495"/>
      <c r="Q5" s="495"/>
      <c r="R5" s="495"/>
      <c r="S5" s="495"/>
    </row>
    <row r="6" spans="1:19" ht="16.5">
      <c r="A6" s="495" t="s">
        <v>308</v>
      </c>
      <c r="B6" s="495"/>
      <c r="C6" s="495"/>
      <c r="D6" s="495"/>
      <c r="E6" s="495"/>
      <c r="F6" s="495"/>
      <c r="G6" s="495"/>
      <c r="H6" s="495"/>
      <c r="I6" s="495"/>
      <c r="J6" s="495"/>
      <c r="K6" s="495"/>
      <c r="L6" s="495"/>
      <c r="M6" s="495"/>
      <c r="N6" s="495"/>
      <c r="O6" s="495"/>
      <c r="P6" s="495"/>
      <c r="Q6" s="495"/>
      <c r="R6" s="495"/>
      <c r="S6" s="495"/>
    </row>
    <row r="7" spans="1:19" ht="16.5">
      <c r="A7" s="495" t="s">
        <v>307</v>
      </c>
      <c r="B7" s="495"/>
      <c r="C7" s="495"/>
      <c r="D7" s="495"/>
      <c r="E7" s="495"/>
      <c r="F7" s="495"/>
      <c r="G7" s="495"/>
      <c r="H7" s="495"/>
      <c r="I7" s="495"/>
      <c r="J7" s="495"/>
      <c r="K7" s="495"/>
      <c r="L7" s="495"/>
      <c r="M7" s="495"/>
      <c r="N7" s="495"/>
      <c r="O7" s="495"/>
      <c r="P7" s="495"/>
      <c r="Q7" s="495"/>
      <c r="R7" s="495"/>
      <c r="S7" s="495"/>
    </row>
    <row r="8" spans="1:19" ht="15.75">
      <c r="A8" s="306"/>
      <c r="B8" s="306"/>
      <c r="C8" s="306"/>
      <c r="D8" s="306"/>
      <c r="E8" s="306"/>
      <c r="F8" s="306"/>
      <c r="G8" s="306"/>
      <c r="H8" s="306"/>
      <c r="I8" s="306"/>
      <c r="J8" s="306"/>
      <c r="K8" s="306"/>
      <c r="L8" s="306"/>
      <c r="M8" s="306"/>
      <c r="N8" s="306"/>
      <c r="O8" s="306"/>
      <c r="P8" s="306"/>
      <c r="Q8" s="306"/>
      <c r="R8" s="306"/>
      <c r="S8" s="306"/>
    </row>
    <row r="9" spans="1:19" ht="15.75">
      <c r="A9" s="496" t="s">
        <v>306</v>
      </c>
      <c r="B9" s="496" t="s">
        <v>305</v>
      </c>
      <c r="C9" s="496" t="s">
        <v>304</v>
      </c>
      <c r="D9" s="496" t="s">
        <v>230</v>
      </c>
      <c r="E9" s="496" t="s">
        <v>231</v>
      </c>
      <c r="F9" s="496" t="s">
        <v>232</v>
      </c>
      <c r="G9" s="496" t="s">
        <v>233</v>
      </c>
      <c r="H9" s="496" t="s">
        <v>234</v>
      </c>
      <c r="I9" s="496" t="s">
        <v>235</v>
      </c>
      <c r="J9" s="496" t="s">
        <v>236</v>
      </c>
      <c r="K9" s="496" t="s">
        <v>303</v>
      </c>
      <c r="L9" s="496" t="s">
        <v>302</v>
      </c>
      <c r="M9" s="498" t="s">
        <v>301</v>
      </c>
      <c r="N9" s="498"/>
      <c r="O9" s="498"/>
      <c r="P9" s="498"/>
      <c r="Q9" s="498"/>
      <c r="R9" s="496" t="s">
        <v>300</v>
      </c>
      <c r="S9" s="496" t="s">
        <v>245</v>
      </c>
    </row>
    <row r="10" spans="1:19" ht="38.25">
      <c r="A10" s="497"/>
      <c r="B10" s="497"/>
      <c r="C10" s="497"/>
      <c r="D10" s="497"/>
      <c r="E10" s="497"/>
      <c r="F10" s="497"/>
      <c r="G10" s="497"/>
      <c r="H10" s="497"/>
      <c r="I10" s="497"/>
      <c r="J10" s="497"/>
      <c r="K10" s="497"/>
      <c r="L10" s="497"/>
      <c r="M10" s="299" t="s">
        <v>239</v>
      </c>
      <c r="N10" s="300" t="s">
        <v>299</v>
      </c>
      <c r="O10" s="299" t="s">
        <v>241</v>
      </c>
      <c r="P10" s="299" t="s">
        <v>242</v>
      </c>
      <c r="Q10" s="299" t="s">
        <v>243</v>
      </c>
      <c r="R10" s="497"/>
      <c r="S10" s="497"/>
    </row>
    <row r="11" spans="1:22" ht="11.25" customHeight="1">
      <c r="A11" s="86">
        <v>1</v>
      </c>
      <c r="B11" s="301" t="s">
        <v>250</v>
      </c>
      <c r="C11" s="301" t="s">
        <v>430</v>
      </c>
      <c r="D11" s="301">
        <v>4</v>
      </c>
      <c r="E11" s="301">
        <v>5</v>
      </c>
      <c r="F11" s="301">
        <v>6</v>
      </c>
      <c r="G11" s="301">
        <v>7</v>
      </c>
      <c r="H11" s="301">
        <v>8</v>
      </c>
      <c r="I11" s="301">
        <v>9</v>
      </c>
      <c r="J11" s="301">
        <v>10</v>
      </c>
      <c r="K11" s="301">
        <v>11</v>
      </c>
      <c r="L11" s="301">
        <v>12</v>
      </c>
      <c r="M11" s="301">
        <v>13</v>
      </c>
      <c r="N11" s="301">
        <v>14</v>
      </c>
      <c r="O11" s="301">
        <v>15</v>
      </c>
      <c r="P11" s="301">
        <v>16</v>
      </c>
      <c r="Q11" s="301">
        <v>17</v>
      </c>
      <c r="R11" s="301">
        <v>18</v>
      </c>
      <c r="S11" s="301">
        <v>19</v>
      </c>
      <c r="T11" s="302" t="s">
        <v>431</v>
      </c>
      <c r="U11" s="302" t="s">
        <v>434</v>
      </c>
      <c r="V11" s="302" t="s">
        <v>436</v>
      </c>
    </row>
    <row r="12" spans="1:22" ht="15.75">
      <c r="A12" s="357">
        <f>COUNTA($B$12:B12)</f>
        <v>1</v>
      </c>
      <c r="B12" s="358" t="s">
        <v>255</v>
      </c>
      <c r="C12" s="359">
        <v>2</v>
      </c>
      <c r="D12" s="363"/>
      <c r="E12" s="360"/>
      <c r="F12" s="360"/>
      <c r="G12" s="360"/>
      <c r="H12" s="360"/>
      <c r="I12" s="360"/>
      <c r="J12" s="360"/>
      <c r="K12" s="360"/>
      <c r="L12" s="360"/>
      <c r="M12" s="360"/>
      <c r="N12" s="360"/>
      <c r="O12" s="360"/>
      <c r="P12" s="360"/>
      <c r="Q12" s="360"/>
      <c r="R12" s="360"/>
      <c r="S12" s="360"/>
      <c r="T12" s="304">
        <v>0</v>
      </c>
      <c r="U12" s="77"/>
      <c r="V12" s="303"/>
    </row>
    <row r="13" spans="1:22" ht="15.75">
      <c r="A13" s="357">
        <f>COUNTA($B$12:B13)</f>
        <v>2</v>
      </c>
      <c r="B13" s="358" t="s">
        <v>256</v>
      </c>
      <c r="C13" s="359">
        <v>2</v>
      </c>
      <c r="D13" s="363"/>
      <c r="E13" s="360"/>
      <c r="F13" s="360"/>
      <c r="G13" s="360"/>
      <c r="H13" s="360"/>
      <c r="I13" s="360"/>
      <c r="J13" s="360"/>
      <c r="K13" s="360"/>
      <c r="L13" s="360"/>
      <c r="M13" s="360"/>
      <c r="N13" s="360"/>
      <c r="O13" s="360"/>
      <c r="P13" s="360"/>
      <c r="Q13" s="360"/>
      <c r="R13" s="360"/>
      <c r="S13" s="360"/>
      <c r="T13" s="304">
        <v>0</v>
      </c>
      <c r="U13" s="77"/>
      <c r="V13" s="303"/>
    </row>
    <row r="14" spans="1:22" ht="15.75">
      <c r="A14" s="357">
        <f>COUNTA($B$12:B14)</f>
        <v>3</v>
      </c>
      <c r="B14" s="358" t="s">
        <v>257</v>
      </c>
      <c r="C14" s="359">
        <v>2</v>
      </c>
      <c r="D14" s="363"/>
      <c r="E14" s="360"/>
      <c r="F14" s="360"/>
      <c r="G14" s="360"/>
      <c r="H14" s="360"/>
      <c r="I14" s="360"/>
      <c r="J14" s="360"/>
      <c r="K14" s="360"/>
      <c r="L14" s="360"/>
      <c r="M14" s="360"/>
      <c r="N14" s="360"/>
      <c r="O14" s="360"/>
      <c r="P14" s="360"/>
      <c r="Q14" s="360"/>
      <c r="R14" s="360"/>
      <c r="S14" s="360"/>
      <c r="T14" s="304">
        <v>0</v>
      </c>
      <c r="U14" s="77"/>
      <c r="V14" s="303"/>
    </row>
    <row r="15" spans="1:22" ht="15.75">
      <c r="A15" s="357">
        <f>COUNTA($B$12:B15)</f>
        <v>4</v>
      </c>
      <c r="B15" s="358" t="s">
        <v>253</v>
      </c>
      <c r="C15" s="359">
        <v>1</v>
      </c>
      <c r="D15" s="363"/>
      <c r="E15" s="360"/>
      <c r="F15" s="360"/>
      <c r="G15" s="360"/>
      <c r="H15" s="360"/>
      <c r="I15" s="360"/>
      <c r="J15" s="360"/>
      <c r="K15" s="360"/>
      <c r="L15" s="360"/>
      <c r="M15" s="360"/>
      <c r="N15" s="360"/>
      <c r="O15" s="360"/>
      <c r="P15" s="360"/>
      <c r="Q15" s="360"/>
      <c r="R15" s="360"/>
      <c r="S15" s="360"/>
      <c r="T15" s="304">
        <v>0</v>
      </c>
      <c r="U15" s="77"/>
      <c r="V15" s="303"/>
    </row>
    <row r="16" spans="1:22" ht="15.75">
      <c r="A16" s="357">
        <f>COUNTA($B$12:B16)</f>
        <v>5</v>
      </c>
      <c r="B16" s="358" t="s">
        <v>251</v>
      </c>
      <c r="C16" s="359">
        <v>1</v>
      </c>
      <c r="D16" s="363"/>
      <c r="E16" s="364"/>
      <c r="F16" s="360"/>
      <c r="G16" s="360"/>
      <c r="H16" s="360"/>
      <c r="I16" s="360"/>
      <c r="J16" s="360"/>
      <c r="K16" s="360"/>
      <c r="L16" s="360"/>
      <c r="M16" s="360"/>
      <c r="N16" s="360"/>
      <c r="O16" s="360"/>
      <c r="P16" s="360"/>
      <c r="Q16" s="360"/>
      <c r="R16" s="360" t="s">
        <v>252</v>
      </c>
      <c r="S16" s="360" t="s">
        <v>429</v>
      </c>
      <c r="T16" s="304">
        <v>0</v>
      </c>
      <c r="U16" s="77" t="s">
        <v>501</v>
      </c>
      <c r="V16" s="303"/>
    </row>
    <row r="17" spans="1:22" ht="15.75">
      <c r="A17"/>
      <c r="B17"/>
      <c r="C17"/>
      <c r="D17"/>
      <c r="E17"/>
      <c r="F17"/>
      <c r="G17"/>
      <c r="H17"/>
      <c r="I17"/>
      <c r="J17"/>
      <c r="K17"/>
      <c r="L17"/>
      <c r="M17"/>
      <c r="N17"/>
      <c r="O17"/>
      <c r="P17"/>
      <c r="Q17"/>
      <c r="R17"/>
      <c r="S17"/>
      <c r="T17" s="304"/>
      <c r="U17" s="77"/>
      <c r="V17" s="303"/>
    </row>
    <row r="18" spans="1:22" ht="15.75">
      <c r="A18" t="s">
        <v>532</v>
      </c>
      <c r="B18"/>
      <c r="C18"/>
      <c r="D18"/>
      <c r="E18"/>
      <c r="F18"/>
      <c r="G18"/>
      <c r="H18"/>
      <c r="I18"/>
      <c r="J18"/>
      <c r="K18"/>
      <c r="L18"/>
      <c r="M18"/>
      <c r="N18" s="361" t="s">
        <v>533</v>
      </c>
      <c r="O18"/>
      <c r="P18"/>
      <c r="Q18"/>
      <c r="R18"/>
      <c r="S18"/>
      <c r="T18" s="304"/>
      <c r="U18" s="77"/>
      <c r="V18" s="303"/>
    </row>
    <row r="19" spans="1:22" ht="15.75">
      <c r="A19" t="s">
        <v>534</v>
      </c>
      <c r="B19"/>
      <c r="C19"/>
      <c r="D19"/>
      <c r="E19"/>
      <c r="F19"/>
      <c r="G19"/>
      <c r="H19"/>
      <c r="I19"/>
      <c r="J19"/>
      <c r="K19"/>
      <c r="L19"/>
      <c r="M19"/>
      <c r="N19" s="362" t="s">
        <v>409</v>
      </c>
      <c r="O19"/>
      <c r="P19"/>
      <c r="Q19"/>
      <c r="R19"/>
      <c r="S19"/>
      <c r="T19" s="304"/>
      <c r="U19" s="77"/>
      <c r="V19" s="303"/>
    </row>
    <row r="20" spans="1:22" ht="15.75">
      <c r="A20"/>
      <c r="B20"/>
      <c r="C20"/>
      <c r="D20"/>
      <c r="E20"/>
      <c r="F20"/>
      <c r="G20"/>
      <c r="H20"/>
      <c r="I20"/>
      <c r="J20"/>
      <c r="K20"/>
      <c r="L20"/>
      <c r="M20"/>
      <c r="N20" s="39" t="s">
        <v>410</v>
      </c>
      <c r="O20"/>
      <c r="P20"/>
      <c r="Q20"/>
      <c r="R20"/>
      <c r="S20"/>
      <c r="T20" s="304"/>
      <c r="U20" s="77"/>
      <c r="V20" s="303"/>
    </row>
    <row r="21" spans="1:22" ht="15.75">
      <c r="A21"/>
      <c r="B21"/>
      <c r="C21"/>
      <c r="D21"/>
      <c r="E21"/>
      <c r="F21"/>
      <c r="G21"/>
      <c r="H21"/>
      <c r="I21"/>
      <c r="J21"/>
      <c r="K21"/>
      <c r="L21"/>
      <c r="M21"/>
      <c r="N21"/>
      <c r="O21"/>
      <c r="P21"/>
      <c r="Q21"/>
      <c r="R21"/>
      <c r="S21"/>
      <c r="T21" s="304"/>
      <c r="U21" s="77"/>
      <c r="V21" s="303"/>
    </row>
    <row r="22" spans="1:22" ht="15.75">
      <c r="A22"/>
      <c r="B22"/>
      <c r="C22"/>
      <c r="D22"/>
      <c r="E22"/>
      <c r="F22"/>
      <c r="G22"/>
      <c r="H22"/>
      <c r="I22"/>
      <c r="J22"/>
      <c r="K22"/>
      <c r="L22"/>
      <c r="M22"/>
      <c r="N22"/>
      <c r="O22"/>
      <c r="P22"/>
      <c r="Q22"/>
      <c r="R22"/>
      <c r="S22"/>
      <c r="T22" s="304"/>
      <c r="U22" s="77"/>
      <c r="V22" s="303"/>
    </row>
    <row r="23" spans="1:22" ht="15.75">
      <c r="A23"/>
      <c r="B23"/>
      <c r="C23"/>
      <c r="D23"/>
      <c r="E23"/>
      <c r="F23"/>
      <c r="G23"/>
      <c r="H23"/>
      <c r="I23"/>
      <c r="J23"/>
      <c r="K23"/>
      <c r="L23"/>
      <c r="M23"/>
      <c r="N23"/>
      <c r="O23"/>
      <c r="P23"/>
      <c r="Q23"/>
      <c r="R23"/>
      <c r="S23"/>
      <c r="T23" s="304"/>
      <c r="U23" s="77"/>
      <c r="V23" s="303"/>
    </row>
    <row r="24" spans="1:22" ht="15.75">
      <c r="A24"/>
      <c r="B24"/>
      <c r="C24"/>
      <c r="D24"/>
      <c r="E24"/>
      <c r="F24"/>
      <c r="G24"/>
      <c r="H24"/>
      <c r="I24"/>
      <c r="J24"/>
      <c r="K24"/>
      <c r="L24"/>
      <c r="M24"/>
      <c r="N24"/>
      <c r="O24"/>
      <c r="P24"/>
      <c r="Q24"/>
      <c r="R24"/>
      <c r="S24"/>
      <c r="T24" s="304"/>
      <c r="U24" s="77"/>
      <c r="V24" s="303"/>
    </row>
    <row r="25" spans="1:22" ht="15.75">
      <c r="A25"/>
      <c r="B25"/>
      <c r="C25"/>
      <c r="D25"/>
      <c r="E25"/>
      <c r="F25"/>
      <c r="G25"/>
      <c r="H25"/>
      <c r="I25"/>
      <c r="J25"/>
      <c r="K25"/>
      <c r="L25"/>
      <c r="M25"/>
      <c r="N25"/>
      <c r="O25"/>
      <c r="P25"/>
      <c r="Q25"/>
      <c r="R25"/>
      <c r="S25"/>
      <c r="T25" s="304"/>
      <c r="U25" s="77"/>
      <c r="V25" s="303"/>
    </row>
    <row r="26" spans="1:22" ht="15.75">
      <c r="A26"/>
      <c r="B26"/>
      <c r="C26"/>
      <c r="D26"/>
      <c r="E26"/>
      <c r="F26"/>
      <c r="G26"/>
      <c r="H26"/>
      <c r="I26"/>
      <c r="J26"/>
      <c r="K26"/>
      <c r="L26"/>
      <c r="M26"/>
      <c r="N26"/>
      <c r="O26"/>
      <c r="P26"/>
      <c r="Q26"/>
      <c r="R26"/>
      <c r="S26"/>
      <c r="T26" s="304"/>
      <c r="U26" s="77"/>
      <c r="V26" s="303"/>
    </row>
    <row r="27" spans="1:22" ht="15.75">
      <c r="A27"/>
      <c r="B27"/>
      <c r="C27"/>
      <c r="D27"/>
      <c r="E27"/>
      <c r="F27"/>
      <c r="G27"/>
      <c r="H27"/>
      <c r="I27"/>
      <c r="J27"/>
      <c r="K27"/>
      <c r="L27"/>
      <c r="M27"/>
      <c r="N27"/>
      <c r="O27"/>
      <c r="P27"/>
      <c r="Q27"/>
      <c r="R27"/>
      <c r="S27"/>
      <c r="T27" s="304"/>
      <c r="U27" s="77"/>
      <c r="V27" s="303"/>
    </row>
    <row r="28" spans="1:22" ht="15.75">
      <c r="A28"/>
      <c r="B28"/>
      <c r="C28"/>
      <c r="D28"/>
      <c r="E28"/>
      <c r="F28"/>
      <c r="G28"/>
      <c r="H28"/>
      <c r="I28"/>
      <c r="J28"/>
      <c r="K28"/>
      <c r="L28"/>
      <c r="M28"/>
      <c r="N28"/>
      <c r="O28"/>
      <c r="P28"/>
      <c r="Q28"/>
      <c r="R28"/>
      <c r="S28"/>
      <c r="T28" s="304"/>
      <c r="U28" s="77"/>
      <c r="V28" s="303"/>
    </row>
    <row r="29" spans="1:22" ht="15.75">
      <c r="A29"/>
      <c r="B29"/>
      <c r="C29"/>
      <c r="D29"/>
      <c r="E29"/>
      <c r="F29"/>
      <c r="G29"/>
      <c r="H29"/>
      <c r="I29"/>
      <c r="J29"/>
      <c r="K29"/>
      <c r="L29"/>
      <c r="M29"/>
      <c r="N29"/>
      <c r="O29"/>
      <c r="P29"/>
      <c r="Q29"/>
      <c r="R29"/>
      <c r="S29"/>
      <c r="T29" s="304"/>
      <c r="U29" s="77"/>
      <c r="V29" s="303"/>
    </row>
    <row r="30" spans="1:22" ht="15.75">
      <c r="A30"/>
      <c r="B30"/>
      <c r="C30"/>
      <c r="D30"/>
      <c r="E30"/>
      <c r="F30"/>
      <c r="G30"/>
      <c r="H30"/>
      <c r="I30"/>
      <c r="J30"/>
      <c r="K30"/>
      <c r="L30"/>
      <c r="M30"/>
      <c r="N30"/>
      <c r="O30"/>
      <c r="P30"/>
      <c r="Q30"/>
      <c r="R30"/>
      <c r="S30"/>
      <c r="T30" s="304"/>
      <c r="U30" s="77"/>
      <c r="V30" s="303"/>
    </row>
    <row r="31" spans="1:22" ht="15.75">
      <c r="A31"/>
      <c r="B31"/>
      <c r="C31"/>
      <c r="D31"/>
      <c r="E31"/>
      <c r="F31"/>
      <c r="G31"/>
      <c r="H31"/>
      <c r="I31"/>
      <c r="J31"/>
      <c r="K31"/>
      <c r="L31"/>
      <c r="M31"/>
      <c r="N31"/>
      <c r="O31"/>
      <c r="P31"/>
      <c r="Q31"/>
      <c r="R31"/>
      <c r="S31"/>
      <c r="T31" s="304"/>
      <c r="U31" s="77"/>
      <c r="V31" s="303"/>
    </row>
    <row r="32" spans="1:22" ht="15.75">
      <c r="A32"/>
      <c r="B32"/>
      <c r="C32"/>
      <c r="D32"/>
      <c r="E32"/>
      <c r="F32"/>
      <c r="G32"/>
      <c r="H32"/>
      <c r="I32"/>
      <c r="J32"/>
      <c r="K32"/>
      <c r="L32"/>
      <c r="M32"/>
      <c r="N32"/>
      <c r="O32"/>
      <c r="P32"/>
      <c r="Q32"/>
      <c r="R32"/>
      <c r="S32"/>
      <c r="T32" s="304"/>
      <c r="U32" s="77"/>
      <c r="V32" s="303"/>
    </row>
    <row r="33" spans="1:22" ht="15.75">
      <c r="A33"/>
      <c r="B33"/>
      <c r="C33"/>
      <c r="D33"/>
      <c r="E33"/>
      <c r="F33"/>
      <c r="G33"/>
      <c r="H33"/>
      <c r="I33"/>
      <c r="J33"/>
      <c r="K33"/>
      <c r="L33"/>
      <c r="M33"/>
      <c r="N33"/>
      <c r="O33"/>
      <c r="P33"/>
      <c r="Q33"/>
      <c r="R33"/>
      <c r="S33"/>
      <c r="T33" s="304"/>
      <c r="U33" s="77"/>
      <c r="V33" s="303"/>
    </row>
    <row r="34" spans="1:22" ht="15.75">
      <c r="A34"/>
      <c r="B34"/>
      <c r="C34"/>
      <c r="D34"/>
      <c r="E34"/>
      <c r="F34"/>
      <c r="G34"/>
      <c r="H34"/>
      <c r="I34"/>
      <c r="J34"/>
      <c r="K34"/>
      <c r="L34"/>
      <c r="M34"/>
      <c r="N34"/>
      <c r="O34"/>
      <c r="P34"/>
      <c r="Q34"/>
      <c r="R34"/>
      <c r="S34"/>
      <c r="T34" s="304"/>
      <c r="U34" s="77"/>
      <c r="V34" s="303"/>
    </row>
    <row r="35" spans="1:22" ht="15.75">
      <c r="A35"/>
      <c r="B35"/>
      <c r="C35"/>
      <c r="D35"/>
      <c r="E35"/>
      <c r="F35"/>
      <c r="G35"/>
      <c r="H35"/>
      <c r="I35"/>
      <c r="J35"/>
      <c r="K35"/>
      <c r="L35"/>
      <c r="M35"/>
      <c r="N35"/>
      <c r="O35"/>
      <c r="P35"/>
      <c r="Q35"/>
      <c r="R35"/>
      <c r="S35"/>
      <c r="T35" s="304"/>
      <c r="U35" s="77"/>
      <c r="V35" s="303"/>
    </row>
    <row r="36" spans="1:22" ht="15.75">
      <c r="A36"/>
      <c r="B36"/>
      <c r="C36"/>
      <c r="D36"/>
      <c r="E36"/>
      <c r="F36"/>
      <c r="G36"/>
      <c r="H36"/>
      <c r="I36"/>
      <c r="J36"/>
      <c r="K36"/>
      <c r="L36"/>
      <c r="M36"/>
      <c r="N36"/>
      <c r="O36"/>
      <c r="P36"/>
      <c r="Q36"/>
      <c r="R36"/>
      <c r="S36"/>
      <c r="T36" s="304"/>
      <c r="U36" s="77"/>
      <c r="V36" s="303"/>
    </row>
    <row r="37" spans="1:22" ht="15.75">
      <c r="A37"/>
      <c r="B37"/>
      <c r="C37"/>
      <c r="D37"/>
      <c r="E37"/>
      <c r="F37"/>
      <c r="G37"/>
      <c r="H37"/>
      <c r="I37"/>
      <c r="J37"/>
      <c r="K37"/>
      <c r="L37"/>
      <c r="M37"/>
      <c r="N37"/>
      <c r="O37"/>
      <c r="P37"/>
      <c r="Q37"/>
      <c r="R37"/>
      <c r="S37"/>
      <c r="T37" s="304"/>
      <c r="U37" s="77"/>
      <c r="V37" s="303"/>
    </row>
    <row r="38" spans="1:22" ht="15.75">
      <c r="A38"/>
      <c r="B38"/>
      <c r="C38"/>
      <c r="D38"/>
      <c r="E38"/>
      <c r="F38"/>
      <c r="G38"/>
      <c r="H38"/>
      <c r="I38"/>
      <c r="J38"/>
      <c r="K38"/>
      <c r="L38"/>
      <c r="M38"/>
      <c r="N38"/>
      <c r="O38"/>
      <c r="P38"/>
      <c r="Q38"/>
      <c r="R38"/>
      <c r="S38"/>
      <c r="T38" s="304"/>
      <c r="U38" s="77"/>
      <c r="V38" s="303"/>
    </row>
    <row r="39" spans="1:19" ht="15.75">
      <c r="A39"/>
      <c r="B39"/>
      <c r="C39"/>
      <c r="D39"/>
      <c r="E39"/>
      <c r="F39"/>
      <c r="G39"/>
      <c r="H39"/>
      <c r="I39"/>
      <c r="J39"/>
      <c r="K39"/>
      <c r="L39"/>
      <c r="M39"/>
      <c r="N39"/>
      <c r="O39"/>
      <c r="P39"/>
      <c r="Q39"/>
      <c r="R39"/>
      <c r="S39"/>
    </row>
    <row r="40" spans="1:19" ht="15.75">
      <c r="A40"/>
      <c r="B40"/>
      <c r="C40"/>
      <c r="D40"/>
      <c r="E40"/>
      <c r="F40"/>
      <c r="G40"/>
      <c r="H40"/>
      <c r="I40"/>
      <c r="J40"/>
      <c r="K40"/>
      <c r="L40"/>
      <c r="M40"/>
      <c r="N40"/>
      <c r="O40"/>
      <c r="P40"/>
      <c r="Q40"/>
      <c r="R40"/>
      <c r="S40"/>
    </row>
    <row r="41" spans="1:19" ht="15.75">
      <c r="A41"/>
      <c r="B41"/>
      <c r="C41"/>
      <c r="D41"/>
      <c r="E41"/>
      <c r="F41"/>
      <c r="G41"/>
      <c r="H41"/>
      <c r="I41"/>
      <c r="J41"/>
      <c r="K41"/>
      <c r="L41"/>
      <c r="M41"/>
      <c r="N41"/>
      <c r="O41"/>
      <c r="P41"/>
      <c r="Q41"/>
      <c r="R41"/>
      <c r="S41"/>
    </row>
    <row r="42" spans="1:19" ht="15.75">
      <c r="A42"/>
      <c r="B42"/>
      <c r="C42"/>
      <c r="D42"/>
      <c r="E42"/>
      <c r="F42"/>
      <c r="G42"/>
      <c r="H42"/>
      <c r="I42"/>
      <c r="J42"/>
      <c r="K42"/>
      <c r="L42"/>
      <c r="M42"/>
      <c r="N42"/>
      <c r="O42"/>
      <c r="P42"/>
      <c r="Q42"/>
      <c r="R42"/>
      <c r="S42"/>
    </row>
    <row r="43" spans="1:19" ht="15.75">
      <c r="A43"/>
      <c r="B43"/>
      <c r="C43"/>
      <c r="D43"/>
      <c r="E43"/>
      <c r="F43"/>
      <c r="G43"/>
      <c r="H43"/>
      <c r="I43"/>
      <c r="J43"/>
      <c r="K43"/>
      <c r="L43"/>
      <c r="M43"/>
      <c r="N43"/>
      <c r="O43"/>
      <c r="P43"/>
      <c r="Q43"/>
      <c r="R43"/>
      <c r="S43"/>
    </row>
    <row r="44" spans="1:19" ht="15.75">
      <c r="A44"/>
      <c r="B44"/>
      <c r="C44"/>
      <c r="D44"/>
      <c r="E44"/>
      <c r="F44"/>
      <c r="G44"/>
      <c r="H44"/>
      <c r="I44"/>
      <c r="J44"/>
      <c r="K44"/>
      <c r="L44"/>
      <c r="M44"/>
      <c r="N44"/>
      <c r="O44"/>
      <c r="P44"/>
      <c r="Q44"/>
      <c r="R44"/>
      <c r="S44"/>
    </row>
    <row r="45" spans="1:19" ht="15.75">
      <c r="A45"/>
      <c r="B45"/>
      <c r="C45"/>
      <c r="D45"/>
      <c r="E45"/>
      <c r="F45"/>
      <c r="G45"/>
      <c r="H45"/>
      <c r="I45"/>
      <c r="J45"/>
      <c r="K45"/>
      <c r="L45"/>
      <c r="M45"/>
      <c r="N45"/>
      <c r="O45"/>
      <c r="P45"/>
      <c r="Q45"/>
      <c r="R45"/>
      <c r="S45"/>
    </row>
    <row r="46" spans="1:19" ht="15.75">
      <c r="A46"/>
      <c r="B46"/>
      <c r="C46"/>
      <c r="D46"/>
      <c r="E46"/>
      <c r="F46"/>
      <c r="G46"/>
      <c r="H46"/>
      <c r="I46"/>
      <c r="J46"/>
      <c r="K46"/>
      <c r="L46"/>
      <c r="M46"/>
      <c r="N46"/>
      <c r="O46"/>
      <c r="P46"/>
      <c r="Q46"/>
      <c r="R46"/>
      <c r="S46"/>
    </row>
    <row r="47" spans="1:19" ht="15.75">
      <c r="A47"/>
      <c r="B47"/>
      <c r="C47"/>
      <c r="D47"/>
      <c r="E47"/>
      <c r="F47"/>
      <c r="G47"/>
      <c r="H47"/>
      <c r="I47"/>
      <c r="J47"/>
      <c r="K47"/>
      <c r="L47"/>
      <c r="M47"/>
      <c r="N47"/>
      <c r="O47"/>
      <c r="P47"/>
      <c r="Q47"/>
      <c r="R47"/>
      <c r="S47"/>
    </row>
    <row r="48" spans="1:19" ht="15.75">
      <c r="A48"/>
      <c r="B48"/>
      <c r="C48"/>
      <c r="D48"/>
      <c r="E48"/>
      <c r="F48"/>
      <c r="G48"/>
      <c r="H48"/>
      <c r="I48"/>
      <c r="J48"/>
      <c r="K48"/>
      <c r="L48"/>
      <c r="M48"/>
      <c r="N48"/>
      <c r="O48"/>
      <c r="P48"/>
      <c r="Q48"/>
      <c r="R48"/>
      <c r="S48"/>
    </row>
    <row r="49" spans="1:19" ht="15.75">
      <c r="A49"/>
      <c r="B49"/>
      <c r="C49"/>
      <c r="D49"/>
      <c r="E49"/>
      <c r="F49"/>
      <c r="G49"/>
      <c r="H49"/>
      <c r="I49"/>
      <c r="J49"/>
      <c r="K49"/>
      <c r="L49"/>
      <c r="M49"/>
      <c r="N49"/>
      <c r="O49"/>
      <c r="P49"/>
      <c r="Q49"/>
      <c r="R49"/>
      <c r="S49"/>
    </row>
    <row r="50" spans="1:19" ht="15.75">
      <c r="A50"/>
      <c r="B50"/>
      <c r="C50"/>
      <c r="D50"/>
      <c r="E50"/>
      <c r="F50"/>
      <c r="G50"/>
      <c r="H50"/>
      <c r="I50"/>
      <c r="J50"/>
      <c r="K50"/>
      <c r="L50"/>
      <c r="M50"/>
      <c r="N50"/>
      <c r="O50"/>
      <c r="P50"/>
      <c r="Q50"/>
      <c r="R50"/>
      <c r="S50"/>
    </row>
    <row r="51" spans="1:19" ht="15.75">
      <c r="A51"/>
      <c r="B51"/>
      <c r="C51"/>
      <c r="D51"/>
      <c r="E51"/>
      <c r="F51"/>
      <c r="G51"/>
      <c r="H51"/>
      <c r="I51"/>
      <c r="J51"/>
      <c r="K51"/>
      <c r="L51"/>
      <c r="M51"/>
      <c r="N51"/>
      <c r="O51"/>
      <c r="P51"/>
      <c r="Q51"/>
      <c r="R51"/>
      <c r="S51"/>
    </row>
    <row r="52" spans="1:19" ht="15.75">
      <c r="A52"/>
      <c r="B52"/>
      <c r="C52"/>
      <c r="D52"/>
      <c r="E52"/>
      <c r="F52"/>
      <c r="G52"/>
      <c r="H52"/>
      <c r="I52"/>
      <c r="J52"/>
      <c r="K52"/>
      <c r="L52"/>
      <c r="M52"/>
      <c r="N52"/>
      <c r="O52"/>
      <c r="P52"/>
      <c r="Q52"/>
      <c r="R52"/>
      <c r="S52"/>
    </row>
    <row r="53" spans="1:19" ht="15.75">
      <c r="A53"/>
      <c r="B53"/>
      <c r="C53"/>
      <c r="D53"/>
      <c r="E53"/>
      <c r="F53"/>
      <c r="G53"/>
      <c r="H53"/>
      <c r="I53"/>
      <c r="J53"/>
      <c r="K53"/>
      <c r="L53"/>
      <c r="M53"/>
      <c r="N53"/>
      <c r="O53"/>
      <c r="P53"/>
      <c r="Q53"/>
      <c r="R53"/>
      <c r="S53"/>
    </row>
    <row r="54" spans="1:19" ht="15.75">
      <c r="A54"/>
      <c r="B54"/>
      <c r="C54"/>
      <c r="D54"/>
      <c r="E54"/>
      <c r="F54"/>
      <c r="G54"/>
      <c r="H54"/>
      <c r="I54"/>
      <c r="J54"/>
      <c r="K54"/>
      <c r="L54"/>
      <c r="M54"/>
      <c r="N54"/>
      <c r="O54"/>
      <c r="P54"/>
      <c r="Q54"/>
      <c r="R54"/>
      <c r="S54"/>
    </row>
    <row r="55" spans="1:19" ht="15.75">
      <c r="A55"/>
      <c r="B55"/>
      <c r="C55"/>
      <c r="D55"/>
      <c r="E55"/>
      <c r="F55"/>
      <c r="G55"/>
      <c r="H55"/>
      <c r="I55"/>
      <c r="J55"/>
      <c r="K55"/>
      <c r="L55"/>
      <c r="M55"/>
      <c r="N55"/>
      <c r="O55"/>
      <c r="P55"/>
      <c r="Q55"/>
      <c r="R55"/>
      <c r="S55"/>
    </row>
    <row r="56" spans="1:19" ht="15.75">
      <c r="A56"/>
      <c r="B56"/>
      <c r="C56"/>
      <c r="D56"/>
      <c r="E56"/>
      <c r="F56"/>
      <c r="G56"/>
      <c r="H56"/>
      <c r="I56"/>
      <c r="J56"/>
      <c r="K56"/>
      <c r="L56"/>
      <c r="M56"/>
      <c r="N56"/>
      <c r="O56"/>
      <c r="P56"/>
      <c r="Q56"/>
      <c r="R56"/>
      <c r="S56"/>
    </row>
    <row r="57" spans="1:19" ht="15.75">
      <c r="A57"/>
      <c r="B57"/>
      <c r="C57"/>
      <c r="D57"/>
      <c r="E57"/>
      <c r="F57"/>
      <c r="G57"/>
      <c r="H57"/>
      <c r="I57"/>
      <c r="J57"/>
      <c r="K57"/>
      <c r="L57"/>
      <c r="M57"/>
      <c r="N57"/>
      <c r="O57"/>
      <c r="P57"/>
      <c r="Q57"/>
      <c r="R57"/>
      <c r="S57"/>
    </row>
    <row r="58" spans="1:19" ht="15.75">
      <c r="A58"/>
      <c r="B58"/>
      <c r="C58"/>
      <c r="D58"/>
      <c r="E58"/>
      <c r="F58"/>
      <c r="G58"/>
      <c r="H58"/>
      <c r="I58"/>
      <c r="J58"/>
      <c r="K58"/>
      <c r="L58"/>
      <c r="M58"/>
      <c r="N58"/>
      <c r="O58"/>
      <c r="P58"/>
      <c r="Q58"/>
      <c r="R58"/>
      <c r="S58"/>
    </row>
    <row r="59" spans="1:19" ht="15.75">
      <c r="A59"/>
      <c r="B59"/>
      <c r="C59"/>
      <c r="D59"/>
      <c r="E59"/>
      <c r="F59"/>
      <c r="G59"/>
      <c r="H59"/>
      <c r="I59"/>
      <c r="J59"/>
      <c r="K59"/>
      <c r="L59"/>
      <c r="M59"/>
      <c r="N59"/>
      <c r="O59"/>
      <c r="P59"/>
      <c r="Q59"/>
      <c r="R59"/>
      <c r="S59"/>
    </row>
    <row r="60" spans="1:19" ht="15.75">
      <c r="A60"/>
      <c r="B60"/>
      <c r="C60"/>
      <c r="D60"/>
      <c r="E60"/>
      <c r="F60"/>
      <c r="G60"/>
      <c r="H60"/>
      <c r="I60"/>
      <c r="J60"/>
      <c r="K60"/>
      <c r="L60"/>
      <c r="M60"/>
      <c r="N60"/>
      <c r="O60"/>
      <c r="P60"/>
      <c r="Q60"/>
      <c r="R60"/>
      <c r="S60"/>
    </row>
    <row r="61" spans="1:19" ht="15.75">
      <c r="A61"/>
      <c r="B61"/>
      <c r="C61"/>
      <c r="D61"/>
      <c r="E61"/>
      <c r="F61"/>
      <c r="G61"/>
      <c r="H61"/>
      <c r="I61"/>
      <c r="J61"/>
      <c r="K61"/>
      <c r="L61"/>
      <c r="M61"/>
      <c r="N61"/>
      <c r="O61"/>
      <c r="P61"/>
      <c r="Q61"/>
      <c r="R61"/>
      <c r="S61"/>
    </row>
    <row r="62" spans="1:19" ht="15.75">
      <c r="A62"/>
      <c r="B62"/>
      <c r="C62"/>
      <c r="D62"/>
      <c r="E62"/>
      <c r="F62"/>
      <c r="G62"/>
      <c r="H62"/>
      <c r="I62"/>
      <c r="J62"/>
      <c r="K62"/>
      <c r="L62"/>
      <c r="M62"/>
      <c r="N62"/>
      <c r="O62"/>
      <c r="P62"/>
      <c r="Q62"/>
      <c r="R62"/>
      <c r="S62"/>
    </row>
    <row r="63" spans="1:19" ht="15.75">
      <c r="A63"/>
      <c r="B63"/>
      <c r="C63"/>
      <c r="D63"/>
      <c r="E63"/>
      <c r="F63"/>
      <c r="G63"/>
      <c r="H63"/>
      <c r="I63"/>
      <c r="J63"/>
      <c r="K63"/>
      <c r="L63"/>
      <c r="M63"/>
      <c r="N63"/>
      <c r="O63"/>
      <c r="P63"/>
      <c r="Q63"/>
      <c r="R63"/>
      <c r="S63"/>
    </row>
    <row r="64" spans="1:19" ht="15.75">
      <c r="A64"/>
      <c r="B64"/>
      <c r="C64"/>
      <c r="D64"/>
      <c r="E64"/>
      <c r="F64"/>
      <c r="G64"/>
      <c r="H64"/>
      <c r="I64"/>
      <c r="J64"/>
      <c r="K64"/>
      <c r="L64"/>
      <c r="M64"/>
      <c r="N64"/>
      <c r="O64"/>
      <c r="P64"/>
      <c r="Q64"/>
      <c r="R64"/>
      <c r="S64"/>
    </row>
    <row r="65" spans="1:19" ht="15.75">
      <c r="A65"/>
      <c r="B65"/>
      <c r="C65"/>
      <c r="D65"/>
      <c r="E65"/>
      <c r="F65"/>
      <c r="G65"/>
      <c r="H65"/>
      <c r="I65"/>
      <c r="J65"/>
      <c r="K65"/>
      <c r="L65"/>
      <c r="M65"/>
      <c r="N65"/>
      <c r="O65"/>
      <c r="P65"/>
      <c r="Q65"/>
      <c r="R65"/>
      <c r="S65"/>
    </row>
    <row r="66" spans="1:19" ht="15.75">
      <c r="A66"/>
      <c r="B66"/>
      <c r="C66"/>
      <c r="D66"/>
      <c r="E66"/>
      <c r="F66"/>
      <c r="G66"/>
      <c r="H66"/>
      <c r="I66"/>
      <c r="J66"/>
      <c r="K66"/>
      <c r="L66"/>
      <c r="M66"/>
      <c r="N66"/>
      <c r="O66"/>
      <c r="P66"/>
      <c r="Q66"/>
      <c r="R66"/>
      <c r="S66"/>
    </row>
    <row r="67" spans="1:19" ht="15.75">
      <c r="A67"/>
      <c r="B67"/>
      <c r="C67"/>
      <c r="D67"/>
      <c r="E67"/>
      <c r="F67"/>
      <c r="G67"/>
      <c r="H67"/>
      <c r="I67"/>
      <c r="J67"/>
      <c r="K67"/>
      <c r="L67"/>
      <c r="M67"/>
      <c r="N67"/>
      <c r="O67"/>
      <c r="P67"/>
      <c r="Q67"/>
      <c r="R67"/>
      <c r="S67"/>
    </row>
    <row r="68" spans="1:19" ht="15.75">
      <c r="A68"/>
      <c r="B68"/>
      <c r="C68"/>
      <c r="D68"/>
      <c r="E68"/>
      <c r="F68"/>
      <c r="G68"/>
      <c r="H68"/>
      <c r="I68"/>
      <c r="J68"/>
      <c r="K68"/>
      <c r="L68"/>
      <c r="M68"/>
      <c r="N68"/>
      <c r="O68"/>
      <c r="P68"/>
      <c r="Q68"/>
      <c r="R68"/>
      <c r="S68"/>
    </row>
    <row r="69" spans="1:19" ht="15.75">
      <c r="A69"/>
      <c r="B69"/>
      <c r="C69"/>
      <c r="D69"/>
      <c r="E69"/>
      <c r="F69"/>
      <c r="G69"/>
      <c r="H69"/>
      <c r="I69"/>
      <c r="J69"/>
      <c r="K69"/>
      <c r="L69"/>
      <c r="M69"/>
      <c r="N69"/>
      <c r="O69"/>
      <c r="P69"/>
      <c r="Q69"/>
      <c r="R69"/>
      <c r="S69"/>
    </row>
    <row r="70" spans="1:19" ht="15.75">
      <c r="A70"/>
      <c r="B70"/>
      <c r="C70"/>
      <c r="D70"/>
      <c r="E70"/>
      <c r="F70"/>
      <c r="G70"/>
      <c r="H70"/>
      <c r="I70"/>
      <c r="J70"/>
      <c r="K70"/>
      <c r="L70"/>
      <c r="M70"/>
      <c r="N70"/>
      <c r="O70"/>
      <c r="P70"/>
      <c r="Q70"/>
      <c r="R70"/>
      <c r="S70"/>
    </row>
    <row r="71" spans="1:19" ht="15.75">
      <c r="A71"/>
      <c r="B71"/>
      <c r="C71"/>
      <c r="D71"/>
      <c r="E71"/>
      <c r="F71"/>
      <c r="G71"/>
      <c r="H71"/>
      <c r="I71"/>
      <c r="J71"/>
      <c r="K71"/>
      <c r="L71"/>
      <c r="M71"/>
      <c r="N71"/>
      <c r="O71"/>
      <c r="P71"/>
      <c r="Q71"/>
      <c r="R71"/>
      <c r="S71"/>
    </row>
    <row r="72" spans="1:19" ht="15.75">
      <c r="A72"/>
      <c r="B72"/>
      <c r="C72"/>
      <c r="D72"/>
      <c r="E72"/>
      <c r="F72"/>
      <c r="G72"/>
      <c r="H72"/>
      <c r="I72"/>
      <c r="J72"/>
      <c r="K72"/>
      <c r="L72"/>
      <c r="M72"/>
      <c r="N72"/>
      <c r="O72"/>
      <c r="P72"/>
      <c r="Q72"/>
      <c r="R72"/>
      <c r="S72"/>
    </row>
    <row r="73" spans="1:19" ht="15.75">
      <c r="A73"/>
      <c r="B73"/>
      <c r="C73"/>
      <c r="D73"/>
      <c r="E73"/>
      <c r="F73"/>
      <c r="G73"/>
      <c r="H73"/>
      <c r="I73"/>
      <c r="J73"/>
      <c r="K73"/>
      <c r="L73"/>
      <c r="M73"/>
      <c r="N73"/>
      <c r="O73"/>
      <c r="P73"/>
      <c r="Q73"/>
      <c r="R73"/>
      <c r="S73"/>
    </row>
    <row r="74" spans="1:19" ht="15.75">
      <c r="A74"/>
      <c r="B74"/>
      <c r="C74"/>
      <c r="D74"/>
      <c r="E74"/>
      <c r="F74"/>
      <c r="G74"/>
      <c r="H74"/>
      <c r="I74"/>
      <c r="J74"/>
      <c r="K74"/>
      <c r="L74"/>
      <c r="M74"/>
      <c r="N74"/>
      <c r="O74"/>
      <c r="P74"/>
      <c r="Q74"/>
      <c r="R74"/>
      <c r="S74"/>
    </row>
    <row r="75" spans="1:19" ht="15.75">
      <c r="A75"/>
      <c r="B75"/>
      <c r="C75"/>
      <c r="D75"/>
      <c r="E75"/>
      <c r="F75"/>
      <c r="G75"/>
      <c r="H75"/>
      <c r="I75"/>
      <c r="J75"/>
      <c r="K75"/>
      <c r="L75"/>
      <c r="M75"/>
      <c r="N75"/>
      <c r="O75"/>
      <c r="P75"/>
      <c r="Q75"/>
      <c r="R75"/>
      <c r="S75"/>
    </row>
    <row r="76" spans="1:19" ht="15.75">
      <c r="A76"/>
      <c r="B76"/>
      <c r="C76"/>
      <c r="D76"/>
      <c r="E76"/>
      <c r="F76"/>
      <c r="G76"/>
      <c r="H76"/>
      <c r="I76"/>
      <c r="J76"/>
      <c r="K76"/>
      <c r="L76"/>
      <c r="M76"/>
      <c r="N76"/>
      <c r="O76"/>
      <c r="P76"/>
      <c r="Q76"/>
      <c r="R76"/>
      <c r="S76"/>
    </row>
    <row r="77" spans="1:19" ht="15.75">
      <c r="A77"/>
      <c r="B77"/>
      <c r="C77"/>
      <c r="D77"/>
      <c r="E77"/>
      <c r="F77"/>
      <c r="G77"/>
      <c r="H77"/>
      <c r="I77"/>
      <c r="J77"/>
      <c r="K77"/>
      <c r="L77"/>
      <c r="M77"/>
      <c r="N77"/>
      <c r="O77"/>
      <c r="P77"/>
      <c r="Q77"/>
      <c r="R77"/>
      <c r="S77"/>
    </row>
    <row r="78" spans="1:19" ht="15.75">
      <c r="A78"/>
      <c r="B78"/>
      <c r="C78"/>
      <c r="D78"/>
      <c r="E78"/>
      <c r="F78"/>
      <c r="G78"/>
      <c r="H78"/>
      <c r="I78"/>
      <c r="J78"/>
      <c r="K78"/>
      <c r="L78"/>
      <c r="M78"/>
      <c r="N78"/>
      <c r="O78"/>
      <c r="P78"/>
      <c r="Q78"/>
      <c r="R78"/>
      <c r="S78"/>
    </row>
    <row r="79" spans="1:19" ht="15.75">
      <c r="A79"/>
      <c r="B79"/>
      <c r="C79"/>
      <c r="D79"/>
      <c r="E79"/>
      <c r="F79"/>
      <c r="G79"/>
      <c r="H79"/>
      <c r="I79"/>
      <c r="J79"/>
      <c r="K79"/>
      <c r="L79"/>
      <c r="M79"/>
      <c r="N79"/>
      <c r="O79"/>
      <c r="P79"/>
      <c r="Q79"/>
      <c r="R79"/>
      <c r="S79"/>
    </row>
    <row r="80" spans="1:19" ht="15.75">
      <c r="A80"/>
      <c r="B80"/>
      <c r="C80"/>
      <c r="D80"/>
      <c r="E80"/>
      <c r="F80"/>
      <c r="G80"/>
      <c r="H80"/>
      <c r="I80"/>
      <c r="J80"/>
      <c r="K80"/>
      <c r="L80"/>
      <c r="M80"/>
      <c r="N80"/>
      <c r="O80"/>
      <c r="P80"/>
      <c r="Q80"/>
      <c r="R80"/>
      <c r="S80"/>
    </row>
    <row r="81" spans="1:19" ht="15.75">
      <c r="A81"/>
      <c r="B81"/>
      <c r="C81"/>
      <c r="D81"/>
      <c r="E81"/>
      <c r="F81"/>
      <c r="G81"/>
      <c r="H81"/>
      <c r="I81"/>
      <c r="J81"/>
      <c r="K81"/>
      <c r="L81"/>
      <c r="M81"/>
      <c r="N81"/>
      <c r="O81"/>
      <c r="P81"/>
      <c r="Q81"/>
      <c r="R81"/>
      <c r="S81"/>
    </row>
    <row r="82" spans="1:19" ht="15.75">
      <c r="A82"/>
      <c r="B82"/>
      <c r="C82"/>
      <c r="D82"/>
      <c r="E82"/>
      <c r="F82"/>
      <c r="G82"/>
      <c r="H82"/>
      <c r="I82"/>
      <c r="J82"/>
      <c r="K82"/>
      <c r="L82"/>
      <c r="M82"/>
      <c r="N82"/>
      <c r="O82"/>
      <c r="P82"/>
      <c r="Q82"/>
      <c r="R82"/>
      <c r="S82"/>
    </row>
    <row r="83" spans="1:19" ht="15.75">
      <c r="A83"/>
      <c r="B83"/>
      <c r="C83"/>
      <c r="D83"/>
      <c r="E83"/>
      <c r="F83"/>
      <c r="G83"/>
      <c r="H83"/>
      <c r="I83"/>
      <c r="J83"/>
      <c r="K83"/>
      <c r="L83"/>
      <c r="M83"/>
      <c r="N83"/>
      <c r="O83"/>
      <c r="P83"/>
      <c r="Q83"/>
      <c r="R83"/>
      <c r="S83"/>
    </row>
    <row r="84" spans="1:19" ht="15.75">
      <c r="A84"/>
      <c r="B84"/>
      <c r="C84"/>
      <c r="D84"/>
      <c r="E84"/>
      <c r="F84"/>
      <c r="G84"/>
      <c r="H84"/>
      <c r="I84"/>
      <c r="J84"/>
      <c r="K84"/>
      <c r="L84"/>
      <c r="M84"/>
      <c r="N84"/>
      <c r="O84"/>
      <c r="P84"/>
      <c r="Q84"/>
      <c r="R84"/>
      <c r="S84"/>
    </row>
    <row r="85" spans="1:19" ht="15.75">
      <c r="A85"/>
      <c r="B85"/>
      <c r="C85"/>
      <c r="D85"/>
      <c r="E85"/>
      <c r="F85"/>
      <c r="G85"/>
      <c r="H85"/>
      <c r="I85"/>
      <c r="J85"/>
      <c r="K85"/>
      <c r="L85"/>
      <c r="M85"/>
      <c r="N85"/>
      <c r="O85"/>
      <c r="P85"/>
      <c r="Q85"/>
      <c r="R85"/>
      <c r="S85"/>
    </row>
    <row r="86" spans="1:19" ht="15.75">
      <c r="A86"/>
      <c r="B86"/>
      <c r="C86"/>
      <c r="D86"/>
      <c r="E86"/>
      <c r="F86"/>
      <c r="G86"/>
      <c r="H86"/>
      <c r="I86"/>
      <c r="J86"/>
      <c r="K86"/>
      <c r="L86"/>
      <c r="M86"/>
      <c r="N86"/>
      <c r="O86"/>
      <c r="P86"/>
      <c r="Q86"/>
      <c r="R86"/>
      <c r="S86"/>
    </row>
    <row r="87" spans="1:19" ht="15.75">
      <c r="A87"/>
      <c r="B87"/>
      <c r="C87"/>
      <c r="D87"/>
      <c r="E87"/>
      <c r="F87"/>
      <c r="G87"/>
      <c r="H87"/>
      <c r="I87"/>
      <c r="J87"/>
      <c r="K87"/>
      <c r="L87"/>
      <c r="M87"/>
      <c r="N87"/>
      <c r="O87"/>
      <c r="P87"/>
      <c r="Q87"/>
      <c r="R87"/>
      <c r="S87"/>
    </row>
    <row r="88" spans="1:19" ht="15.75">
      <c r="A88"/>
      <c r="B88"/>
      <c r="C88"/>
      <c r="D88"/>
      <c r="E88"/>
      <c r="F88"/>
      <c r="G88"/>
      <c r="H88"/>
      <c r="I88"/>
      <c r="J88"/>
      <c r="K88"/>
      <c r="L88"/>
      <c r="M88"/>
      <c r="N88"/>
      <c r="O88"/>
      <c r="P88"/>
      <c r="Q88"/>
      <c r="R88"/>
      <c r="S88"/>
    </row>
    <row r="89" spans="1:19" ht="15.75">
      <c r="A89"/>
      <c r="B89"/>
      <c r="C89"/>
      <c r="D89"/>
      <c r="E89"/>
      <c r="F89"/>
      <c r="G89"/>
      <c r="H89"/>
      <c r="I89"/>
      <c r="J89"/>
      <c r="K89"/>
      <c r="L89"/>
      <c r="M89"/>
      <c r="N89"/>
      <c r="O89"/>
      <c r="P89"/>
      <c r="Q89"/>
      <c r="R89"/>
      <c r="S89"/>
    </row>
    <row r="90" spans="1:19" ht="15.75">
      <c r="A90"/>
      <c r="B90"/>
      <c r="C90"/>
      <c r="D90"/>
      <c r="E90"/>
      <c r="F90"/>
      <c r="G90"/>
      <c r="H90"/>
      <c r="I90"/>
      <c r="J90"/>
      <c r="K90"/>
      <c r="L90"/>
      <c r="M90"/>
      <c r="N90"/>
      <c r="O90"/>
      <c r="P90"/>
      <c r="Q90"/>
      <c r="R90"/>
      <c r="S90"/>
    </row>
  </sheetData>
  <sheetProtection sheet="1" objects="1" scenarios="1"/>
  <mergeCells count="23">
    <mergeCell ref="S9:S10"/>
    <mergeCell ref="I9:I10"/>
    <mergeCell ref="J9:J10"/>
    <mergeCell ref="K9:K10"/>
    <mergeCell ref="L9:L10"/>
    <mergeCell ref="M9:Q9"/>
    <mergeCell ref="R9:R10"/>
    <mergeCell ref="A6:S6"/>
    <mergeCell ref="A7:S7"/>
    <mergeCell ref="A9:A10"/>
    <mergeCell ref="B9:B10"/>
    <mergeCell ref="C9:C10"/>
    <mergeCell ref="D9:D10"/>
    <mergeCell ref="E9:E10"/>
    <mergeCell ref="F9:F10"/>
    <mergeCell ref="G9:G10"/>
    <mergeCell ref="H9:H10"/>
    <mergeCell ref="A2:D2"/>
    <mergeCell ref="H2:O2"/>
    <mergeCell ref="A3:D3"/>
    <mergeCell ref="H3:O3"/>
    <mergeCell ref="H4:M4"/>
    <mergeCell ref="A5:S5"/>
  </mergeCells>
  <conditionalFormatting sqref="A9:S10">
    <cfRule type="expression" priority="36" dxfId="24" stopIfTrue="1">
      <formula>$A$2&lt;&gt;""</formula>
    </cfRule>
  </conditionalFormatting>
  <conditionalFormatting sqref="A11:S11">
    <cfRule type="expression" priority="35" dxfId="21" stopIfTrue="1">
      <formula>$A$2&lt;&gt;""</formula>
    </cfRule>
  </conditionalFormatting>
  <conditionalFormatting sqref="A91:S204">
    <cfRule type="expression" priority="39" dxfId="25" stopIfTrue="1">
      <formula>$B91&lt;&gt;""</formula>
    </cfRule>
  </conditionalFormatting>
  <conditionalFormatting sqref="A12:S16">
    <cfRule type="expression" priority="40" dxfId="26" stopIfTrue="1">
      <formula>$B12&lt;&gt;""</formula>
    </cfRule>
  </conditionalFormatting>
  <dataValidations count="1">
    <dataValidation type="list" allowBlank="1" showInputMessage="1" showErrorMessage="1" error="Đánh dấu &quot;x&quot;" sqref="R11">
      <formula1>"x"</formula1>
    </dataValidation>
  </dataValidation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A1:BM37"/>
  <sheetViews>
    <sheetView showGridLines="0" showRowColHeaders="0" zoomScale="80" zoomScaleNormal="80" zoomScalePageLayoutView="0" workbookViewId="0" topLeftCell="A1">
      <selection activeCell="AO17" sqref="AO17"/>
    </sheetView>
  </sheetViews>
  <sheetFormatPr defaultColWidth="0" defaultRowHeight="15.75"/>
  <cols>
    <col min="1" max="65" width="2.125" style="89" customWidth="1"/>
    <col min="66" max="66" width="2.00390625" style="89" customWidth="1"/>
    <col min="67" max="68" width="2.00390625" style="89" hidden="1" customWidth="1"/>
    <col min="69" max="75" width="2.50390625" style="89" hidden="1" customWidth="1"/>
    <col min="76" max="149" width="3.25390625" style="89" hidden="1" customWidth="1"/>
    <col min="150" max="16384" width="0" style="89" hidden="1" customWidth="1"/>
  </cols>
  <sheetData>
    <row r="1" spans="1:60" ht="11.25" customHeight="1">
      <c r="A1" s="193"/>
      <c r="B1" s="193"/>
      <c r="C1" s="193"/>
      <c r="D1" s="193"/>
      <c r="E1" s="193"/>
      <c r="F1" s="193"/>
      <c r="G1" s="193"/>
      <c r="H1" s="193"/>
      <c r="I1" s="193"/>
      <c r="J1" s="193"/>
      <c r="K1" s="193"/>
      <c r="L1" s="193"/>
      <c r="M1" s="193"/>
      <c r="N1" s="193"/>
      <c r="O1" s="193"/>
      <c r="Q1" s="193"/>
      <c r="T1" s="194"/>
      <c r="U1" s="194"/>
      <c r="BH1" s="195" t="s">
        <v>437</v>
      </c>
    </row>
    <row r="2" spans="2:45" ht="15">
      <c r="B2" s="91"/>
      <c r="C2" s="91"/>
      <c r="F2" s="90" t="s">
        <v>359</v>
      </c>
      <c r="G2" s="193"/>
      <c r="H2" s="91"/>
      <c r="T2" s="193"/>
      <c r="U2" s="193"/>
      <c r="AI2" s="90" t="s">
        <v>311</v>
      </c>
      <c r="AJ2" s="90"/>
      <c r="AK2" s="90"/>
      <c r="AL2" s="90"/>
      <c r="AM2" s="90"/>
      <c r="AN2" s="90"/>
      <c r="AO2" s="90"/>
      <c r="AP2" s="90"/>
      <c r="AQ2" s="90"/>
      <c r="AR2" s="90"/>
      <c r="AS2" s="90"/>
    </row>
    <row r="3" spans="2:45" ht="15">
      <c r="B3" s="91"/>
      <c r="C3" s="91"/>
      <c r="F3" s="90" t="s">
        <v>438</v>
      </c>
      <c r="G3" s="193"/>
      <c r="H3" s="91"/>
      <c r="T3" s="193"/>
      <c r="U3" s="193"/>
      <c r="AI3" s="90" t="s">
        <v>310</v>
      </c>
      <c r="AJ3" s="90"/>
      <c r="AK3" s="90"/>
      <c r="AL3" s="90"/>
      <c r="AM3" s="90"/>
      <c r="AN3" s="90"/>
      <c r="AO3" s="90"/>
      <c r="AP3" s="90"/>
      <c r="AQ3" s="90"/>
      <c r="AR3" s="90"/>
      <c r="AS3" s="90"/>
    </row>
    <row r="4" spans="1:21" ht="15" customHeight="1">
      <c r="A4" s="90"/>
      <c r="B4" s="90"/>
      <c r="C4" s="90"/>
      <c r="D4" s="90"/>
      <c r="E4" s="90"/>
      <c r="F4" s="90"/>
      <c r="G4" s="193"/>
      <c r="H4" s="196"/>
      <c r="I4" s="569"/>
      <c r="J4" s="569"/>
      <c r="K4" s="569"/>
      <c r="L4" s="569"/>
      <c r="M4" s="569"/>
      <c r="N4" s="569"/>
      <c r="O4" s="196"/>
      <c r="P4" s="196"/>
      <c r="Q4" s="196"/>
      <c r="R4" s="196"/>
      <c r="S4" s="193"/>
      <c r="T4" s="193"/>
      <c r="U4" s="193"/>
    </row>
    <row r="5" spans="1:65" ht="29.25" customHeight="1">
      <c r="A5" s="570" t="s">
        <v>439</v>
      </c>
      <c r="B5" s="570"/>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c r="AM5" s="570"/>
      <c r="AN5" s="570"/>
      <c r="AO5" s="570"/>
      <c r="AP5" s="570"/>
      <c r="AQ5" s="570"/>
      <c r="AR5" s="570"/>
      <c r="AS5" s="570"/>
      <c r="AT5" s="570"/>
      <c r="AU5" s="570"/>
      <c r="AV5" s="570"/>
      <c r="AW5" s="570"/>
      <c r="AX5" s="570"/>
      <c r="AY5" s="570"/>
      <c r="AZ5" s="570"/>
      <c r="BA5" s="570"/>
      <c r="BB5" s="570"/>
      <c r="BC5" s="570"/>
      <c r="BD5" s="570"/>
      <c r="BE5" s="570"/>
      <c r="BF5" s="570"/>
      <c r="BG5" s="570"/>
      <c r="BH5" s="570"/>
      <c r="BI5" s="570"/>
      <c r="BJ5" s="570"/>
      <c r="BK5" s="570"/>
      <c r="BL5" s="570"/>
      <c r="BM5" s="570"/>
    </row>
    <row r="6" spans="1:21" ht="12.75" customHeight="1">
      <c r="A6" s="571"/>
      <c r="B6" s="571"/>
      <c r="C6" s="571"/>
      <c r="D6" s="571"/>
      <c r="E6" s="571"/>
      <c r="F6" s="571"/>
      <c r="G6" s="571"/>
      <c r="H6" s="571"/>
      <c r="I6" s="571"/>
      <c r="J6" s="571"/>
      <c r="K6" s="571"/>
      <c r="L6" s="571"/>
      <c r="M6" s="571"/>
      <c r="N6" s="571"/>
      <c r="O6" s="571"/>
      <c r="P6" s="571"/>
      <c r="Q6" s="571"/>
      <c r="R6" s="571"/>
      <c r="S6" s="571"/>
      <c r="T6" s="571"/>
      <c r="U6" s="571"/>
    </row>
    <row r="7" spans="1:21" ht="21.75" customHeight="1">
      <c r="A7" s="197" t="s">
        <v>440</v>
      </c>
      <c r="B7" s="198"/>
      <c r="C7" s="198"/>
      <c r="D7" s="199"/>
      <c r="E7" s="199"/>
      <c r="F7" s="199"/>
      <c r="G7" s="199"/>
      <c r="H7" s="199"/>
      <c r="I7" s="199"/>
      <c r="J7" s="193"/>
      <c r="K7" s="193"/>
      <c r="L7" s="193"/>
      <c r="M7" s="193"/>
      <c r="N7" s="193"/>
      <c r="O7" s="193"/>
      <c r="P7" s="193"/>
      <c r="Q7" s="193"/>
      <c r="R7" s="193"/>
      <c r="S7" s="193"/>
      <c r="T7" s="193"/>
      <c r="U7" s="193"/>
    </row>
    <row r="8" spans="1:65" ht="35.25" customHeight="1">
      <c r="A8" s="507" t="s">
        <v>306</v>
      </c>
      <c r="B8" s="507"/>
      <c r="C8" s="507" t="s">
        <v>441</v>
      </c>
      <c r="D8" s="507"/>
      <c r="E8" s="507"/>
      <c r="F8" s="507"/>
      <c r="G8" s="507"/>
      <c r="H8" s="507"/>
      <c r="I8" s="507"/>
      <c r="J8" s="507"/>
      <c r="K8" s="507"/>
      <c r="L8" s="507" t="s">
        <v>442</v>
      </c>
      <c r="M8" s="507"/>
      <c r="N8" s="507"/>
      <c r="O8" s="507"/>
      <c r="P8" s="507"/>
      <c r="Q8" s="507"/>
      <c r="R8" s="507"/>
      <c r="S8" s="507"/>
      <c r="T8" s="507"/>
      <c r="U8" s="534" t="s">
        <v>326</v>
      </c>
      <c r="V8" s="535"/>
      <c r="W8" s="535"/>
      <c r="X8" s="535"/>
      <c r="Y8" s="535"/>
      <c r="Z8" s="535"/>
      <c r="AA8" s="535"/>
      <c r="AB8" s="535"/>
      <c r="AC8" s="535"/>
      <c r="AD8" s="535"/>
      <c r="AE8" s="535"/>
      <c r="AF8" s="535"/>
      <c r="AG8" s="535"/>
      <c r="AH8" s="535"/>
      <c r="AI8" s="536"/>
      <c r="AJ8" s="534" t="s">
        <v>443</v>
      </c>
      <c r="AK8" s="535"/>
      <c r="AL8" s="535"/>
      <c r="AM8" s="535"/>
      <c r="AN8" s="535"/>
      <c r="AO8" s="535"/>
      <c r="AP8" s="535"/>
      <c r="AQ8" s="535"/>
      <c r="AR8" s="535"/>
      <c r="AS8" s="535"/>
      <c r="AT8" s="535"/>
      <c r="AU8" s="535"/>
      <c r="AV8" s="535"/>
      <c r="AW8" s="535"/>
      <c r="AX8" s="536"/>
      <c r="AY8" s="507" t="s">
        <v>444</v>
      </c>
      <c r="AZ8" s="507"/>
      <c r="BA8" s="507"/>
      <c r="BB8" s="507"/>
      <c r="BC8" s="507"/>
      <c r="BD8" s="507"/>
      <c r="BE8" s="507"/>
      <c r="BF8" s="507"/>
      <c r="BG8" s="507"/>
      <c r="BH8" s="507"/>
      <c r="BI8" s="507"/>
      <c r="BJ8" s="507"/>
      <c r="BK8" s="507"/>
      <c r="BL8" s="507"/>
      <c r="BM8" s="507"/>
    </row>
    <row r="9" spans="1:65" ht="102" customHeight="1">
      <c r="A9" s="507"/>
      <c r="B9" s="507"/>
      <c r="C9" s="507"/>
      <c r="D9" s="507"/>
      <c r="E9" s="507"/>
      <c r="F9" s="507"/>
      <c r="G9" s="507"/>
      <c r="H9" s="507"/>
      <c r="I9" s="507"/>
      <c r="J9" s="507"/>
      <c r="K9" s="507"/>
      <c r="L9" s="507" t="s">
        <v>445</v>
      </c>
      <c r="M9" s="507"/>
      <c r="N9" s="507"/>
      <c r="O9" s="507" t="s">
        <v>446</v>
      </c>
      <c r="P9" s="507"/>
      <c r="Q9" s="507"/>
      <c r="R9" s="507" t="s">
        <v>447</v>
      </c>
      <c r="S9" s="507"/>
      <c r="T9" s="507"/>
      <c r="U9" s="507" t="s">
        <v>448</v>
      </c>
      <c r="V9" s="507"/>
      <c r="W9" s="507"/>
      <c r="X9" s="507" t="s">
        <v>449</v>
      </c>
      <c r="Y9" s="507"/>
      <c r="Z9" s="507"/>
      <c r="AA9" s="507" t="s">
        <v>450</v>
      </c>
      <c r="AB9" s="507"/>
      <c r="AC9" s="507"/>
      <c r="AD9" s="507" t="s">
        <v>451</v>
      </c>
      <c r="AE9" s="507"/>
      <c r="AF9" s="507"/>
      <c r="AG9" s="507" t="s">
        <v>452</v>
      </c>
      <c r="AH9" s="507"/>
      <c r="AI9" s="507"/>
      <c r="AJ9" s="507" t="s">
        <v>453</v>
      </c>
      <c r="AK9" s="507"/>
      <c r="AL9" s="507"/>
      <c r="AM9" s="507" t="s">
        <v>449</v>
      </c>
      <c r="AN9" s="507"/>
      <c r="AO9" s="507"/>
      <c r="AP9" s="507" t="s">
        <v>450</v>
      </c>
      <c r="AQ9" s="507"/>
      <c r="AR9" s="507"/>
      <c r="AS9" s="507" t="s">
        <v>454</v>
      </c>
      <c r="AT9" s="507"/>
      <c r="AU9" s="507"/>
      <c r="AV9" s="507" t="s">
        <v>455</v>
      </c>
      <c r="AW9" s="507"/>
      <c r="AX9" s="507"/>
      <c r="AY9" s="507" t="s">
        <v>12</v>
      </c>
      <c r="AZ9" s="507"/>
      <c r="BA9" s="507"/>
      <c r="BB9" s="507" t="s">
        <v>13</v>
      </c>
      <c r="BC9" s="507"/>
      <c r="BD9" s="507"/>
      <c r="BE9" s="507" t="s">
        <v>456</v>
      </c>
      <c r="BF9" s="507"/>
      <c r="BG9" s="507"/>
      <c r="BH9" s="507" t="s">
        <v>457</v>
      </c>
      <c r="BI9" s="507"/>
      <c r="BJ9" s="507"/>
      <c r="BK9" s="507" t="s">
        <v>458</v>
      </c>
      <c r="BL9" s="507"/>
      <c r="BM9" s="507"/>
    </row>
    <row r="10" spans="1:65" ht="17.25" customHeight="1">
      <c r="A10" s="565" t="s">
        <v>459</v>
      </c>
      <c r="B10" s="565"/>
      <c r="C10" s="566" t="s">
        <v>460</v>
      </c>
      <c r="D10" s="567"/>
      <c r="E10" s="567"/>
      <c r="F10" s="567"/>
      <c r="G10" s="567"/>
      <c r="H10" s="567"/>
      <c r="I10" s="567"/>
      <c r="J10" s="567"/>
      <c r="K10" s="568"/>
      <c r="L10" s="562"/>
      <c r="M10" s="563"/>
      <c r="N10" s="564"/>
      <c r="O10" s="562"/>
      <c r="P10" s="563"/>
      <c r="Q10" s="564"/>
      <c r="R10" s="562"/>
      <c r="S10" s="563"/>
      <c r="T10" s="564"/>
      <c r="U10" s="562"/>
      <c r="V10" s="563"/>
      <c r="W10" s="564"/>
      <c r="X10" s="562"/>
      <c r="Y10" s="563"/>
      <c r="Z10" s="564"/>
      <c r="AA10" s="562"/>
      <c r="AB10" s="563"/>
      <c r="AC10" s="564"/>
      <c r="AD10" s="562"/>
      <c r="AE10" s="563"/>
      <c r="AF10" s="564"/>
      <c r="AG10" s="562"/>
      <c r="AH10" s="563"/>
      <c r="AI10" s="564"/>
      <c r="AJ10" s="562">
        <f>SUM(AM10:AX10)</f>
        <v>0</v>
      </c>
      <c r="AK10" s="563"/>
      <c r="AL10" s="564"/>
      <c r="AM10" s="562"/>
      <c r="AN10" s="563"/>
      <c r="AO10" s="564"/>
      <c r="AP10" s="562"/>
      <c r="AQ10" s="563"/>
      <c r="AR10" s="564"/>
      <c r="AS10" s="562"/>
      <c r="AT10" s="563"/>
      <c r="AU10" s="564"/>
      <c r="AV10" s="562"/>
      <c r="AW10" s="563"/>
      <c r="AX10" s="564"/>
      <c r="AY10" s="562"/>
      <c r="AZ10" s="563"/>
      <c r="BA10" s="564"/>
      <c r="BB10" s="562"/>
      <c r="BC10" s="563"/>
      <c r="BD10" s="564"/>
      <c r="BE10" s="562"/>
      <c r="BF10" s="563"/>
      <c r="BG10" s="564"/>
      <c r="BH10" s="562"/>
      <c r="BI10" s="563"/>
      <c r="BJ10" s="564"/>
      <c r="BK10" s="562"/>
      <c r="BL10" s="563"/>
      <c r="BM10" s="564"/>
    </row>
    <row r="11" spans="1:65" ht="17.25" customHeight="1">
      <c r="A11" s="558" t="s">
        <v>461</v>
      </c>
      <c r="B11" s="558"/>
      <c r="C11" s="559" t="s">
        <v>462</v>
      </c>
      <c r="D11" s="560"/>
      <c r="E11" s="560"/>
      <c r="F11" s="560"/>
      <c r="G11" s="560"/>
      <c r="H11" s="560"/>
      <c r="I11" s="560"/>
      <c r="J11" s="560"/>
      <c r="K11" s="561"/>
      <c r="L11" s="552"/>
      <c r="M11" s="553"/>
      <c r="N11" s="554"/>
      <c r="O11" s="552"/>
      <c r="P11" s="553"/>
      <c r="Q11" s="554"/>
      <c r="R11" s="552"/>
      <c r="S11" s="553"/>
      <c r="T11" s="554"/>
      <c r="U11" s="552"/>
      <c r="V11" s="553"/>
      <c r="W11" s="554"/>
      <c r="X11" s="552"/>
      <c r="Y11" s="553"/>
      <c r="Z11" s="554"/>
      <c r="AA11" s="552"/>
      <c r="AB11" s="553"/>
      <c r="AC11" s="554"/>
      <c r="AD11" s="552"/>
      <c r="AE11" s="553"/>
      <c r="AF11" s="554"/>
      <c r="AG11" s="552"/>
      <c r="AH11" s="553"/>
      <c r="AI11" s="554"/>
      <c r="AJ11" s="552">
        <f>SUM(AM11:AX11)</f>
        <v>0</v>
      </c>
      <c r="AK11" s="553"/>
      <c r="AL11" s="554"/>
      <c r="AM11" s="552"/>
      <c r="AN11" s="553"/>
      <c r="AO11" s="554"/>
      <c r="AP11" s="552"/>
      <c r="AQ11" s="553"/>
      <c r="AR11" s="554"/>
      <c r="AS11" s="552"/>
      <c r="AT11" s="553"/>
      <c r="AU11" s="554"/>
      <c r="AV11" s="552"/>
      <c r="AW11" s="553"/>
      <c r="AX11" s="554"/>
      <c r="AY11" s="552"/>
      <c r="AZ11" s="553"/>
      <c r="BA11" s="554"/>
      <c r="BB11" s="552"/>
      <c r="BC11" s="553"/>
      <c r="BD11" s="554"/>
      <c r="BE11" s="552"/>
      <c r="BF11" s="553"/>
      <c r="BG11" s="554"/>
      <c r="BH11" s="552"/>
      <c r="BI11" s="553"/>
      <c r="BJ11" s="554"/>
      <c r="BK11" s="552"/>
      <c r="BL11" s="553"/>
      <c r="BM11" s="554"/>
    </row>
    <row r="12" spans="1:65" ht="17.25" customHeight="1">
      <c r="A12" s="558">
        <v>1</v>
      </c>
      <c r="B12" s="558"/>
      <c r="C12" s="559" t="s">
        <v>463</v>
      </c>
      <c r="D12" s="560"/>
      <c r="E12" s="560"/>
      <c r="F12" s="560"/>
      <c r="G12" s="560"/>
      <c r="H12" s="560"/>
      <c r="I12" s="560"/>
      <c r="J12" s="560"/>
      <c r="K12" s="561"/>
      <c r="L12" s="552"/>
      <c r="M12" s="553"/>
      <c r="N12" s="554"/>
      <c r="O12" s="552"/>
      <c r="P12" s="553"/>
      <c r="Q12" s="554"/>
      <c r="R12" s="552"/>
      <c r="S12" s="553"/>
      <c r="T12" s="554"/>
      <c r="U12" s="552"/>
      <c r="V12" s="553"/>
      <c r="W12" s="554"/>
      <c r="X12" s="552"/>
      <c r="Y12" s="553"/>
      <c r="Z12" s="554"/>
      <c r="AA12" s="552"/>
      <c r="AB12" s="553"/>
      <c r="AC12" s="554"/>
      <c r="AD12" s="552"/>
      <c r="AE12" s="553"/>
      <c r="AF12" s="554"/>
      <c r="AG12" s="552"/>
      <c r="AH12" s="553"/>
      <c r="AI12" s="554"/>
      <c r="AJ12" s="552">
        <f>SUM(AM12:AX12)</f>
        <v>0</v>
      </c>
      <c r="AK12" s="553"/>
      <c r="AL12" s="554"/>
      <c r="AM12" s="552"/>
      <c r="AN12" s="553"/>
      <c r="AO12" s="554"/>
      <c r="AP12" s="552"/>
      <c r="AQ12" s="553"/>
      <c r="AR12" s="554"/>
      <c r="AS12" s="552"/>
      <c r="AT12" s="553"/>
      <c r="AU12" s="554"/>
      <c r="AV12" s="552"/>
      <c r="AW12" s="553"/>
      <c r="AX12" s="554"/>
      <c r="AY12" s="552"/>
      <c r="AZ12" s="553"/>
      <c r="BA12" s="554"/>
      <c r="BB12" s="552"/>
      <c r="BC12" s="553"/>
      <c r="BD12" s="554"/>
      <c r="BE12" s="552"/>
      <c r="BF12" s="553"/>
      <c r="BG12" s="554"/>
      <c r="BH12" s="552"/>
      <c r="BI12" s="553"/>
      <c r="BJ12" s="554"/>
      <c r="BK12" s="552"/>
      <c r="BL12" s="553"/>
      <c r="BM12" s="554"/>
    </row>
    <row r="13" spans="1:65" ht="17.25" customHeight="1">
      <c r="A13" s="558">
        <v>2</v>
      </c>
      <c r="B13" s="558"/>
      <c r="C13" s="559" t="s">
        <v>464</v>
      </c>
      <c r="D13" s="560"/>
      <c r="E13" s="560"/>
      <c r="F13" s="560"/>
      <c r="G13" s="560"/>
      <c r="H13" s="560"/>
      <c r="I13" s="560"/>
      <c r="J13" s="560"/>
      <c r="K13" s="561"/>
      <c r="L13" s="555">
        <f ca="1">OFFSET(MauTH!$A$11,MATCH("TỔNG CỘNG",MauTH!$A$12:$A$30,0),3)</f>
        <v>0</v>
      </c>
      <c r="M13" s="556"/>
      <c r="N13" s="557"/>
      <c r="O13" s="555">
        <f ca="1">OFFSET(MauTH!$A$11,MATCH("TỔNG CỘNG",MauTH!$A$12:$A$30,0),4)</f>
        <v>0</v>
      </c>
      <c r="P13" s="556"/>
      <c r="Q13" s="557"/>
      <c r="R13" s="545">
        <f ca="1">OFFSET(MauTH!$A$11,MATCH("TỔNG CỘNG",MauTH!$A$12:$A$30,0),5)</f>
        <v>0</v>
      </c>
      <c r="S13" s="546"/>
      <c r="T13" s="547"/>
      <c r="U13" s="552"/>
      <c r="V13" s="553"/>
      <c r="W13" s="554"/>
      <c r="X13" s="552"/>
      <c r="Y13" s="553"/>
      <c r="Z13" s="554"/>
      <c r="AA13" s="552"/>
      <c r="AB13" s="553"/>
      <c r="AC13" s="554"/>
      <c r="AD13" s="552"/>
      <c r="AE13" s="553"/>
      <c r="AF13" s="554"/>
      <c r="AG13" s="552"/>
      <c r="AH13" s="553"/>
      <c r="AI13" s="554"/>
      <c r="AJ13" s="552">
        <f>SUM(AM13:AX13)</f>
        <v>0</v>
      </c>
      <c r="AK13" s="553"/>
      <c r="AL13" s="554"/>
      <c r="AM13" s="552"/>
      <c r="AN13" s="553"/>
      <c r="AO13" s="554"/>
      <c r="AP13" s="552"/>
      <c r="AQ13" s="553"/>
      <c r="AR13" s="554"/>
      <c r="AS13" s="552"/>
      <c r="AT13" s="553"/>
      <c r="AU13" s="554"/>
      <c r="AV13" s="552"/>
      <c r="AW13" s="553"/>
      <c r="AX13" s="554"/>
      <c r="AY13" s="555">
        <f ca="1">OFFSET(MauTH!$A$11,MATCH("TỔNG CỘNG",MauTH!$A$12:$A$30,0),6)</f>
        <v>0</v>
      </c>
      <c r="AZ13" s="556"/>
      <c r="BA13" s="557"/>
      <c r="BB13" s="555">
        <f ca="1">OFFSET(MauTH!$A$11,MATCH("TỔNG CỘNG",MauTH!$A$12:$A$30,0),7)</f>
        <v>0</v>
      </c>
      <c r="BC13" s="556"/>
      <c r="BD13" s="557"/>
      <c r="BE13" s="545">
        <f ca="1">OFFSET(MauTH!$A$11,MATCH("TỔNG CỘNG",MauTH!$A$12:$A$30,0),8)</f>
        <v>0</v>
      </c>
      <c r="BF13" s="546"/>
      <c r="BG13" s="547"/>
      <c r="BH13" s="555">
        <f ca="1">OFFSET(MauTH!$A$11,MATCH("TỔNG CỘNG",MauTH!$A$12:$A$30,0),9)</f>
        <v>0</v>
      </c>
      <c r="BI13" s="556"/>
      <c r="BJ13" s="557"/>
      <c r="BK13" s="545">
        <f ca="1">OFFSET(MauTH!$A$11,MATCH("TỔNG CỘNG",MauTH!$A$12:$A$30,0),17)</f>
        <v>0</v>
      </c>
      <c r="BL13" s="546"/>
      <c r="BM13" s="547"/>
    </row>
    <row r="14" spans="1:65" ht="17.25" customHeight="1">
      <c r="A14" s="548">
        <v>3</v>
      </c>
      <c r="B14" s="548"/>
      <c r="C14" s="549" t="s">
        <v>465</v>
      </c>
      <c r="D14" s="550"/>
      <c r="E14" s="550"/>
      <c r="F14" s="550"/>
      <c r="G14" s="550"/>
      <c r="H14" s="550"/>
      <c r="I14" s="550"/>
      <c r="J14" s="550"/>
      <c r="K14" s="551"/>
      <c r="L14" s="541"/>
      <c r="M14" s="542"/>
      <c r="N14" s="543"/>
      <c r="O14" s="541"/>
      <c r="P14" s="542"/>
      <c r="Q14" s="543"/>
      <c r="R14" s="541"/>
      <c r="S14" s="542"/>
      <c r="T14" s="543"/>
      <c r="U14" s="541"/>
      <c r="V14" s="542"/>
      <c r="W14" s="543"/>
      <c r="X14" s="541"/>
      <c r="Y14" s="542"/>
      <c r="Z14" s="543"/>
      <c r="AA14" s="541"/>
      <c r="AB14" s="542"/>
      <c r="AC14" s="543"/>
      <c r="AD14" s="541"/>
      <c r="AE14" s="542"/>
      <c r="AF14" s="543"/>
      <c r="AG14" s="541"/>
      <c r="AH14" s="542"/>
      <c r="AI14" s="543"/>
      <c r="AJ14" s="541">
        <f>SUM(AM14:AX14)</f>
        <v>0</v>
      </c>
      <c r="AK14" s="542"/>
      <c r="AL14" s="543"/>
      <c r="AM14" s="541"/>
      <c r="AN14" s="542"/>
      <c r="AO14" s="543"/>
      <c r="AP14" s="541"/>
      <c r="AQ14" s="542"/>
      <c r="AR14" s="543"/>
      <c r="AS14" s="541"/>
      <c r="AT14" s="542"/>
      <c r="AU14" s="543"/>
      <c r="AV14" s="541"/>
      <c r="AW14" s="542"/>
      <c r="AX14" s="543"/>
      <c r="AY14" s="541"/>
      <c r="AZ14" s="542"/>
      <c r="BA14" s="543"/>
      <c r="BB14" s="541"/>
      <c r="BC14" s="542"/>
      <c r="BD14" s="543"/>
      <c r="BE14" s="541"/>
      <c r="BF14" s="542"/>
      <c r="BG14" s="543"/>
      <c r="BH14" s="541"/>
      <c r="BI14" s="542"/>
      <c r="BJ14" s="543"/>
      <c r="BK14" s="541"/>
      <c r="BL14" s="542"/>
      <c r="BM14" s="543"/>
    </row>
    <row r="15" spans="1:65" s="200" customFormat="1" ht="24.75" customHeight="1">
      <c r="A15" s="540"/>
      <c r="B15" s="540"/>
      <c r="C15" s="544" t="s">
        <v>218</v>
      </c>
      <c r="D15" s="544"/>
      <c r="E15" s="544"/>
      <c r="F15" s="544"/>
      <c r="G15" s="544"/>
      <c r="H15" s="544"/>
      <c r="I15" s="544"/>
      <c r="J15" s="544"/>
      <c r="K15" s="544"/>
      <c r="L15" s="540">
        <f>SUM(L10:L14)</f>
        <v>0</v>
      </c>
      <c r="M15" s="540"/>
      <c r="N15" s="540"/>
      <c r="O15" s="540">
        <f>SUM(O10:O14)</f>
        <v>0</v>
      </c>
      <c r="P15" s="540"/>
      <c r="Q15" s="540"/>
      <c r="R15" s="539">
        <f>IF(L15=0,"",O15/L15*100)</f>
      </c>
      <c r="S15" s="539"/>
      <c r="T15" s="539"/>
      <c r="U15" s="540">
        <f>SUM(U10:U14)</f>
        <v>0</v>
      </c>
      <c r="V15" s="540"/>
      <c r="W15" s="540"/>
      <c r="X15" s="540">
        <f>SUM(X10:X14)</f>
        <v>0</v>
      </c>
      <c r="Y15" s="540"/>
      <c r="Z15" s="540"/>
      <c r="AA15" s="540">
        <f>SUM(AA10:AA14)</f>
        <v>0</v>
      </c>
      <c r="AB15" s="540"/>
      <c r="AC15" s="540"/>
      <c r="AD15" s="540">
        <f>SUM(AD10:AD14)</f>
        <v>0</v>
      </c>
      <c r="AE15" s="540"/>
      <c r="AF15" s="540"/>
      <c r="AG15" s="540">
        <f>SUM(AG10:AG14)</f>
        <v>0</v>
      </c>
      <c r="AH15" s="540"/>
      <c r="AI15" s="540"/>
      <c r="AJ15" s="540">
        <f>SUM(AJ10:AJ14)</f>
        <v>0</v>
      </c>
      <c r="AK15" s="540"/>
      <c r="AL15" s="540"/>
      <c r="AM15" s="540">
        <f>SUM(AM10:AM14)</f>
        <v>0</v>
      </c>
      <c r="AN15" s="540"/>
      <c r="AO15" s="540"/>
      <c r="AP15" s="540">
        <f>SUM(AP10:AP14)</f>
        <v>0</v>
      </c>
      <c r="AQ15" s="540"/>
      <c r="AR15" s="540"/>
      <c r="AS15" s="540">
        <f>SUM(AS10:AS14)</f>
        <v>0</v>
      </c>
      <c r="AT15" s="540"/>
      <c r="AU15" s="540"/>
      <c r="AV15" s="540">
        <f>SUM(AV10:AV14)</f>
        <v>0</v>
      </c>
      <c r="AW15" s="540"/>
      <c r="AX15" s="540"/>
      <c r="AY15" s="540">
        <f>SUM(AY10:AY14)</f>
        <v>0</v>
      </c>
      <c r="AZ15" s="540"/>
      <c r="BA15" s="540"/>
      <c r="BB15" s="540">
        <f>SUM(BB10:BB14)</f>
        <v>0</v>
      </c>
      <c r="BC15" s="540"/>
      <c r="BD15" s="540"/>
      <c r="BE15" s="539">
        <f>IF(BB15=0,"",BB15/AY15*100)</f>
      </c>
      <c r="BF15" s="539"/>
      <c r="BG15" s="539"/>
      <c r="BH15" s="540">
        <f>SUM(BH10:BH14)</f>
        <v>0</v>
      </c>
      <c r="BI15" s="540"/>
      <c r="BJ15" s="540"/>
      <c r="BK15" s="539" t="e">
        <f>BH15/BB15*100</f>
        <v>#DIV/0!</v>
      </c>
      <c r="BL15" s="539"/>
      <c r="BM15" s="539"/>
    </row>
    <row r="16" spans="1:21" ht="17.25" customHeight="1">
      <c r="A16" s="201"/>
      <c r="B16" s="201"/>
      <c r="C16" s="201"/>
      <c r="D16" s="202"/>
      <c r="E16" s="202"/>
      <c r="F16" s="202"/>
      <c r="G16" s="203"/>
      <c r="H16" s="204"/>
      <c r="I16" s="203"/>
      <c r="J16" s="203"/>
      <c r="K16" s="203"/>
      <c r="L16" s="203"/>
      <c r="M16" s="203"/>
      <c r="N16" s="203"/>
      <c r="O16" s="203"/>
      <c r="P16" s="203"/>
      <c r="Q16" s="203"/>
      <c r="R16" s="203"/>
      <c r="S16" s="203"/>
      <c r="T16" s="203"/>
      <c r="U16" s="203"/>
    </row>
    <row r="17" spans="1:6" ht="25.5" customHeight="1">
      <c r="A17" s="205" t="s">
        <v>466</v>
      </c>
      <c r="D17" s="206"/>
      <c r="E17" s="206"/>
      <c r="F17" s="206"/>
    </row>
    <row r="18" spans="1:65" ht="30" customHeight="1">
      <c r="A18" s="528" t="s">
        <v>467</v>
      </c>
      <c r="B18" s="528"/>
      <c r="C18" s="528"/>
      <c r="D18" s="528"/>
      <c r="E18" s="528" t="s">
        <v>468</v>
      </c>
      <c r="F18" s="528"/>
      <c r="G18" s="528"/>
      <c r="H18" s="528"/>
      <c r="I18" s="528" t="s">
        <v>469</v>
      </c>
      <c r="J18" s="528"/>
      <c r="K18" s="528"/>
      <c r="L18" s="528" t="s">
        <v>470</v>
      </c>
      <c r="M18" s="528"/>
      <c r="N18" s="528"/>
      <c r="O18" s="528" t="s">
        <v>471</v>
      </c>
      <c r="P18" s="528"/>
      <c r="Q18" s="528"/>
      <c r="R18" s="528" t="s">
        <v>472</v>
      </c>
      <c r="S18" s="528"/>
      <c r="T18" s="528"/>
      <c r="U18" s="528" t="s">
        <v>473</v>
      </c>
      <c r="V18" s="528"/>
      <c r="W18" s="528"/>
      <c r="X18" s="528" t="s">
        <v>234</v>
      </c>
      <c r="Y18" s="528"/>
      <c r="Z18" s="528"/>
      <c r="AA18" s="528" t="s">
        <v>429</v>
      </c>
      <c r="AB18" s="528"/>
      <c r="AC18" s="528"/>
      <c r="AD18" s="528" t="s">
        <v>474</v>
      </c>
      <c r="AE18" s="528"/>
      <c r="AF18" s="528"/>
      <c r="AG18" s="528"/>
      <c r="AH18" s="528"/>
      <c r="AI18" s="528"/>
      <c r="AJ18" s="528"/>
      <c r="AK18" s="528"/>
      <c r="AL18" s="528"/>
      <c r="AM18" s="528" t="s">
        <v>475</v>
      </c>
      <c r="AN18" s="528"/>
      <c r="AO18" s="528"/>
      <c r="AP18" s="528"/>
      <c r="AQ18" s="528"/>
      <c r="AR18" s="528"/>
      <c r="AS18" s="528" t="s">
        <v>476</v>
      </c>
      <c r="AT18" s="528"/>
      <c r="AU18" s="528"/>
      <c r="AV18" s="528" t="s">
        <v>477</v>
      </c>
      <c r="AW18" s="528"/>
      <c r="AX18" s="528"/>
      <c r="AY18" s="528" t="s">
        <v>478</v>
      </c>
      <c r="AZ18" s="528"/>
      <c r="BA18" s="528"/>
      <c r="BB18" s="528" t="s">
        <v>479</v>
      </c>
      <c r="BC18" s="528"/>
      <c r="BD18" s="528"/>
      <c r="BE18" s="528" t="s">
        <v>480</v>
      </c>
      <c r="BF18" s="528"/>
      <c r="BG18" s="528"/>
      <c r="BH18" s="528" t="s">
        <v>481</v>
      </c>
      <c r="BI18" s="528"/>
      <c r="BJ18" s="528"/>
      <c r="BK18" s="528" t="s">
        <v>482</v>
      </c>
      <c r="BL18" s="528"/>
      <c r="BM18" s="528"/>
    </row>
    <row r="19" spans="1:65" ht="60" customHeight="1">
      <c r="A19" s="528"/>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t="s">
        <v>483</v>
      </c>
      <c r="AE19" s="528"/>
      <c r="AF19" s="528"/>
      <c r="AG19" s="528" t="s">
        <v>484</v>
      </c>
      <c r="AH19" s="528"/>
      <c r="AI19" s="528"/>
      <c r="AJ19" s="528" t="s">
        <v>485</v>
      </c>
      <c r="AK19" s="528"/>
      <c r="AL19" s="528"/>
      <c r="AM19" s="528" t="s">
        <v>486</v>
      </c>
      <c r="AN19" s="528"/>
      <c r="AO19" s="528"/>
      <c r="AP19" s="528" t="s">
        <v>487</v>
      </c>
      <c r="AQ19" s="528"/>
      <c r="AR19" s="528"/>
      <c r="AS19" s="528"/>
      <c r="AT19" s="528"/>
      <c r="AU19" s="528"/>
      <c r="AV19" s="528"/>
      <c r="AW19" s="528"/>
      <c r="AX19" s="528"/>
      <c r="AY19" s="528"/>
      <c r="AZ19" s="528"/>
      <c r="BA19" s="528"/>
      <c r="BB19" s="528"/>
      <c r="BC19" s="528"/>
      <c r="BD19" s="528"/>
      <c r="BE19" s="528"/>
      <c r="BF19" s="528"/>
      <c r="BG19" s="528"/>
      <c r="BH19" s="528"/>
      <c r="BI19" s="528"/>
      <c r="BJ19" s="528"/>
      <c r="BK19" s="528"/>
      <c r="BL19" s="528"/>
      <c r="BM19" s="528"/>
    </row>
    <row r="20" spans="1:65" s="207" customFormat="1" ht="20.25" customHeight="1">
      <c r="A20" s="507"/>
      <c r="B20" s="507"/>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7"/>
      <c r="BA20" s="507"/>
      <c r="BB20" s="507"/>
      <c r="BC20" s="507"/>
      <c r="BD20" s="507"/>
      <c r="BE20" s="507"/>
      <c r="BF20" s="507"/>
      <c r="BG20" s="507"/>
      <c r="BH20" s="507"/>
      <c r="BI20" s="507"/>
      <c r="BJ20" s="507"/>
      <c r="BK20" s="507"/>
      <c r="BL20" s="507"/>
      <c r="BM20" s="507"/>
    </row>
    <row r="21" ht="12.75" customHeight="1"/>
    <row r="22" spans="1:3" ht="42.75" customHeight="1">
      <c r="A22" s="208" t="s">
        <v>488</v>
      </c>
      <c r="C22" s="205"/>
    </row>
    <row r="23" spans="1:65" ht="60.75" customHeight="1">
      <c r="A23" s="537" t="s">
        <v>306</v>
      </c>
      <c r="B23" s="507" t="s">
        <v>489</v>
      </c>
      <c r="C23" s="507"/>
      <c r="D23" s="507"/>
      <c r="E23" s="507"/>
      <c r="F23" s="507"/>
      <c r="G23" s="507" t="s">
        <v>467</v>
      </c>
      <c r="H23" s="507"/>
      <c r="I23" s="507"/>
      <c r="J23" s="507" t="s">
        <v>490</v>
      </c>
      <c r="K23" s="507"/>
      <c r="L23" s="507"/>
      <c r="M23" s="534" t="s">
        <v>469</v>
      </c>
      <c r="N23" s="535"/>
      <c r="O23" s="535"/>
      <c r="P23" s="535"/>
      <c r="Q23" s="536"/>
      <c r="R23" s="534" t="s">
        <v>470</v>
      </c>
      <c r="S23" s="535"/>
      <c r="T23" s="535"/>
      <c r="U23" s="535"/>
      <c r="V23" s="536"/>
      <c r="W23" s="534" t="s">
        <v>471</v>
      </c>
      <c r="X23" s="535"/>
      <c r="Y23" s="535"/>
      <c r="Z23" s="535"/>
      <c r="AA23" s="536"/>
      <c r="AB23" s="534" t="s">
        <v>472</v>
      </c>
      <c r="AC23" s="535"/>
      <c r="AD23" s="535"/>
      <c r="AE23" s="535"/>
      <c r="AF23" s="536"/>
      <c r="AG23" s="534" t="s">
        <v>491</v>
      </c>
      <c r="AH23" s="535"/>
      <c r="AI23" s="535"/>
      <c r="AJ23" s="535"/>
      <c r="AK23" s="535"/>
      <c r="AL23" s="536"/>
      <c r="AM23" s="534" t="s">
        <v>234</v>
      </c>
      <c r="AN23" s="535"/>
      <c r="AO23" s="535"/>
      <c r="AP23" s="535"/>
      <c r="AQ23" s="535"/>
      <c r="AR23" s="536"/>
      <c r="AS23" s="534" t="s">
        <v>429</v>
      </c>
      <c r="AT23" s="535"/>
      <c r="AU23" s="535"/>
      <c r="AV23" s="535"/>
      <c r="AW23" s="535"/>
      <c r="AX23" s="536"/>
      <c r="AY23" s="534" t="s">
        <v>492</v>
      </c>
      <c r="AZ23" s="535"/>
      <c r="BA23" s="535"/>
      <c r="BB23" s="535"/>
      <c r="BC23" s="535"/>
      <c r="BD23" s="535"/>
      <c r="BE23" s="535"/>
      <c r="BF23" s="535"/>
      <c r="BG23" s="536"/>
      <c r="BH23" s="507" t="s">
        <v>493</v>
      </c>
      <c r="BI23" s="507"/>
      <c r="BJ23" s="507"/>
      <c r="BK23" s="507"/>
      <c r="BL23" s="507"/>
      <c r="BM23" s="507"/>
    </row>
    <row r="24" spans="1:65" s="209" customFormat="1" ht="42" customHeight="1">
      <c r="A24" s="538"/>
      <c r="B24" s="507"/>
      <c r="C24" s="507"/>
      <c r="D24" s="507"/>
      <c r="E24" s="507"/>
      <c r="F24" s="507"/>
      <c r="G24" s="507"/>
      <c r="H24" s="507"/>
      <c r="I24" s="507"/>
      <c r="J24" s="507"/>
      <c r="K24" s="507"/>
      <c r="L24" s="507"/>
      <c r="M24" s="532" t="s">
        <v>494</v>
      </c>
      <c r="N24" s="533"/>
      <c r="O24" s="532" t="s">
        <v>495</v>
      </c>
      <c r="P24" s="533"/>
      <c r="Q24" s="533"/>
      <c r="R24" s="532" t="s">
        <v>494</v>
      </c>
      <c r="S24" s="533"/>
      <c r="T24" s="532" t="s">
        <v>495</v>
      </c>
      <c r="U24" s="533"/>
      <c r="V24" s="533"/>
      <c r="W24" s="532" t="s">
        <v>494</v>
      </c>
      <c r="X24" s="533"/>
      <c r="Y24" s="532" t="s">
        <v>495</v>
      </c>
      <c r="Z24" s="533"/>
      <c r="AA24" s="533"/>
      <c r="AB24" s="532" t="s">
        <v>494</v>
      </c>
      <c r="AC24" s="533"/>
      <c r="AD24" s="532" t="s">
        <v>495</v>
      </c>
      <c r="AE24" s="533"/>
      <c r="AF24" s="533"/>
      <c r="AG24" s="532" t="s">
        <v>494</v>
      </c>
      <c r="AH24" s="533"/>
      <c r="AI24" s="533"/>
      <c r="AJ24" s="532" t="s">
        <v>495</v>
      </c>
      <c r="AK24" s="533"/>
      <c r="AL24" s="533"/>
      <c r="AM24" s="532" t="s">
        <v>494</v>
      </c>
      <c r="AN24" s="533"/>
      <c r="AO24" s="533"/>
      <c r="AP24" s="532" t="s">
        <v>495</v>
      </c>
      <c r="AQ24" s="533"/>
      <c r="AR24" s="533"/>
      <c r="AS24" s="532" t="s">
        <v>494</v>
      </c>
      <c r="AT24" s="533"/>
      <c r="AU24" s="533"/>
      <c r="AV24" s="532" t="s">
        <v>495</v>
      </c>
      <c r="AW24" s="533"/>
      <c r="AX24" s="533"/>
      <c r="AY24" s="532" t="s">
        <v>483</v>
      </c>
      <c r="AZ24" s="533"/>
      <c r="BA24" s="533"/>
      <c r="BB24" s="532" t="s">
        <v>484</v>
      </c>
      <c r="BC24" s="533"/>
      <c r="BD24" s="533"/>
      <c r="BE24" s="532" t="s">
        <v>485</v>
      </c>
      <c r="BF24" s="533"/>
      <c r="BG24" s="533"/>
      <c r="BH24" s="528" t="s">
        <v>486</v>
      </c>
      <c r="BI24" s="528"/>
      <c r="BJ24" s="528"/>
      <c r="BK24" s="528" t="s">
        <v>487</v>
      </c>
      <c r="BL24" s="528"/>
      <c r="BM24" s="528"/>
    </row>
    <row r="25" spans="1:65" ht="15">
      <c r="A25" s="210">
        <v>1</v>
      </c>
      <c r="B25" s="529" t="s">
        <v>463</v>
      </c>
      <c r="C25" s="530"/>
      <c r="D25" s="530"/>
      <c r="E25" s="530"/>
      <c r="F25" s="531"/>
      <c r="G25" s="522"/>
      <c r="H25" s="523"/>
      <c r="I25" s="524"/>
      <c r="J25" s="522"/>
      <c r="K25" s="523"/>
      <c r="L25" s="524"/>
      <c r="M25" s="522"/>
      <c r="N25" s="523"/>
      <c r="O25" s="522"/>
      <c r="P25" s="523"/>
      <c r="Q25" s="524"/>
      <c r="R25" s="522"/>
      <c r="S25" s="523"/>
      <c r="T25" s="522"/>
      <c r="U25" s="523"/>
      <c r="V25" s="524"/>
      <c r="W25" s="522"/>
      <c r="X25" s="523"/>
      <c r="Y25" s="522"/>
      <c r="Z25" s="523"/>
      <c r="AA25" s="524"/>
      <c r="AB25" s="522"/>
      <c r="AC25" s="523"/>
      <c r="AD25" s="522"/>
      <c r="AE25" s="523"/>
      <c r="AF25" s="524"/>
      <c r="AG25" s="522"/>
      <c r="AH25" s="523"/>
      <c r="AI25" s="524"/>
      <c r="AJ25" s="522"/>
      <c r="AK25" s="523"/>
      <c r="AL25" s="524"/>
      <c r="AM25" s="522"/>
      <c r="AN25" s="523"/>
      <c r="AO25" s="524"/>
      <c r="AP25" s="522"/>
      <c r="AQ25" s="523"/>
      <c r="AR25" s="524"/>
      <c r="AS25" s="522"/>
      <c r="AT25" s="523"/>
      <c r="AU25" s="524"/>
      <c r="AV25" s="522">
        <f>IF($J25=0,"",AS25/$J25)</f>
      </c>
      <c r="AW25" s="523"/>
      <c r="AX25" s="524"/>
      <c r="AY25" s="522">
        <f>IF($D$5=0,"",COUNTIF([0]!CMON,"Dưới đại học")/$D$5)</f>
      </c>
      <c r="AZ25" s="523"/>
      <c r="BA25" s="524"/>
      <c r="BB25" s="522">
        <f>IF($D$5=0,"",COUNTIF([0]!CMON,"đại học")/$D$5)</f>
      </c>
      <c r="BC25" s="523"/>
      <c r="BD25" s="524"/>
      <c r="BE25" s="522">
        <f>IF($D$5=0,"",COUNTIF([0]!CMON,"SAU đại học")/$D$5)</f>
      </c>
      <c r="BF25" s="523"/>
      <c r="BG25" s="524"/>
      <c r="BH25" s="522">
        <f>IF($D$5=0,"",COUNTIF([0]!CTRI,"Trung cấp")/$D$5)</f>
      </c>
      <c r="BI25" s="523"/>
      <c r="BJ25" s="524"/>
      <c r="BK25" s="522">
        <f>IF($D$5=0,"",COUNTIF([0]!CTRI,"Cao cấp")/$D$5)</f>
      </c>
      <c r="BL25" s="523"/>
      <c r="BM25" s="524"/>
    </row>
    <row r="26" spans="1:65" ht="15">
      <c r="A26" s="211">
        <v>2</v>
      </c>
      <c r="B26" s="525" t="s">
        <v>464</v>
      </c>
      <c r="C26" s="526"/>
      <c r="D26" s="526"/>
      <c r="E26" s="526"/>
      <c r="F26" s="527"/>
      <c r="G26" s="513">
        <f>TS_DBduocbau</f>
        <v>27</v>
      </c>
      <c r="H26" s="514"/>
      <c r="I26" s="515"/>
      <c r="J26" s="513">
        <f>MAX(Mau28!A12:A90)</f>
        <v>5</v>
      </c>
      <c r="K26" s="514"/>
      <c r="L26" s="515"/>
      <c r="M26" s="513">
        <f>COUNTIF(Gioi_TrungCu,"Nữ")</f>
        <v>0</v>
      </c>
      <c r="N26" s="514"/>
      <c r="O26" s="513">
        <f>M26/J26*100</f>
        <v>0</v>
      </c>
      <c r="P26" s="514"/>
      <c r="Q26" s="515"/>
      <c r="R26" s="513">
        <f>COUNTIF(DToc_TrungCu,"&lt;&gt;Kinh")</f>
        <v>5</v>
      </c>
      <c r="S26" s="514"/>
      <c r="T26" s="513">
        <f>R26/$J$26*100</f>
        <v>100</v>
      </c>
      <c r="U26" s="514"/>
      <c r="V26" s="515"/>
      <c r="W26" s="513">
        <f>COUNTIF(Tuoi_TrungCu,"&lt;35")</f>
        <v>5</v>
      </c>
      <c r="X26" s="514"/>
      <c r="Y26" s="513">
        <f>W26/$J$26*100</f>
        <v>100</v>
      </c>
      <c r="Z26" s="514"/>
      <c r="AA26" s="515"/>
      <c r="AB26" s="513">
        <f>COUNTIF(Dang_TrungCu,"")</f>
        <v>5</v>
      </c>
      <c r="AC26" s="514"/>
      <c r="AD26" s="513">
        <f>AB26/$J$26*100</f>
        <v>100</v>
      </c>
      <c r="AE26" s="514"/>
      <c r="AF26" s="515"/>
      <c r="AG26" s="513">
        <f>COUNTIF(TaiCu_TrungCu,"&lt;&gt;")</f>
        <v>1</v>
      </c>
      <c r="AH26" s="514"/>
      <c r="AI26" s="515"/>
      <c r="AJ26" s="516">
        <f>AG26/$J$26*100</f>
        <v>20</v>
      </c>
      <c r="AK26" s="517"/>
      <c r="AL26" s="518"/>
      <c r="AM26" s="513">
        <f>COUNTIF(TGiao_TrungCu,"&lt;&gt;Không")</f>
        <v>5</v>
      </c>
      <c r="AN26" s="514"/>
      <c r="AO26" s="515"/>
      <c r="AP26" s="516">
        <f>AM26/J26*100</f>
        <v>100</v>
      </c>
      <c r="AQ26" s="517"/>
      <c r="AR26" s="518"/>
      <c r="AS26" s="513">
        <f>COUNTIF(GhiChu_TrungCu,"Tự ứng cử")</f>
        <v>1</v>
      </c>
      <c r="AT26" s="514"/>
      <c r="AU26" s="515"/>
      <c r="AV26" s="516">
        <f>AS26/J26*100</f>
        <v>20</v>
      </c>
      <c r="AW26" s="517"/>
      <c r="AX26" s="518"/>
      <c r="AY26" s="513">
        <f>COUNTIF(ChMon_TrungCu,"Dưới ĐH")/J26*100</f>
        <v>0</v>
      </c>
      <c r="AZ26" s="514"/>
      <c r="BA26" s="515"/>
      <c r="BB26" s="513">
        <f>COUNTIF(ChMon_TrungCu,"Đại học")/J26*100</f>
        <v>0</v>
      </c>
      <c r="BC26" s="514"/>
      <c r="BD26" s="515"/>
      <c r="BE26" s="513">
        <f>COUNTIF(ChMon_TrungCu,"Sau ĐH")/J26*100</f>
        <v>0</v>
      </c>
      <c r="BF26" s="514"/>
      <c r="BG26" s="515"/>
      <c r="BH26" s="513">
        <f>COUNTIF(ChTri_TrungCu,"Trung cấp")/J26*100</f>
        <v>0</v>
      </c>
      <c r="BI26" s="514"/>
      <c r="BJ26" s="515"/>
      <c r="BK26" s="513">
        <f>COUNTIF(ChTri_TrungCu,"cao cấp")/J26*100</f>
        <v>0</v>
      </c>
      <c r="BL26" s="514"/>
      <c r="BM26" s="515"/>
    </row>
    <row r="27" spans="1:65" ht="15">
      <c r="A27" s="212">
        <v>3</v>
      </c>
      <c r="B27" s="519" t="s">
        <v>465</v>
      </c>
      <c r="C27" s="520"/>
      <c r="D27" s="520"/>
      <c r="E27" s="520"/>
      <c r="F27" s="521"/>
      <c r="G27" s="509"/>
      <c r="H27" s="510"/>
      <c r="I27" s="511"/>
      <c r="J27" s="509"/>
      <c r="K27" s="510"/>
      <c r="L27" s="511"/>
      <c r="M27" s="509"/>
      <c r="N27" s="510"/>
      <c r="O27" s="509"/>
      <c r="P27" s="510"/>
      <c r="Q27" s="511"/>
      <c r="R27" s="509"/>
      <c r="S27" s="510"/>
      <c r="T27" s="509"/>
      <c r="U27" s="510"/>
      <c r="V27" s="511"/>
      <c r="W27" s="509"/>
      <c r="X27" s="510"/>
      <c r="Y27" s="509"/>
      <c r="Z27" s="510"/>
      <c r="AA27" s="511"/>
      <c r="AB27" s="509"/>
      <c r="AC27" s="510"/>
      <c r="AD27" s="509"/>
      <c r="AE27" s="510"/>
      <c r="AF27" s="511"/>
      <c r="AG27" s="509"/>
      <c r="AH27" s="510"/>
      <c r="AI27" s="511"/>
      <c r="AJ27" s="509"/>
      <c r="AK27" s="510"/>
      <c r="AL27" s="511"/>
      <c r="AM27" s="509"/>
      <c r="AN27" s="510"/>
      <c r="AO27" s="511"/>
      <c r="AP27" s="509"/>
      <c r="AQ27" s="510"/>
      <c r="AR27" s="511"/>
      <c r="AS27" s="509"/>
      <c r="AT27" s="510"/>
      <c r="AU27" s="511"/>
      <c r="AV27" s="509"/>
      <c r="AW27" s="510"/>
      <c r="AX27" s="511"/>
      <c r="AY27" s="509"/>
      <c r="AZ27" s="510"/>
      <c r="BA27" s="511"/>
      <c r="BB27" s="509"/>
      <c r="BC27" s="510"/>
      <c r="BD27" s="511"/>
      <c r="BE27" s="509"/>
      <c r="BF27" s="510"/>
      <c r="BG27" s="511"/>
      <c r="BH27" s="509"/>
      <c r="BI27" s="510"/>
      <c r="BJ27" s="511"/>
      <c r="BK27" s="509"/>
      <c r="BL27" s="510"/>
      <c r="BM27" s="511"/>
    </row>
    <row r="29" spans="1:3" ht="15">
      <c r="A29" s="213" t="s">
        <v>496</v>
      </c>
      <c r="C29" s="205"/>
    </row>
    <row r="30" spans="1:65" ht="46.5" customHeight="1">
      <c r="A30" s="507" t="s">
        <v>306</v>
      </c>
      <c r="B30" s="507"/>
      <c r="C30" s="507" t="s">
        <v>489</v>
      </c>
      <c r="D30" s="507"/>
      <c r="E30" s="507"/>
      <c r="F30" s="507"/>
      <c r="G30" s="507"/>
      <c r="H30" s="507"/>
      <c r="I30" s="507"/>
      <c r="J30" s="507"/>
      <c r="K30" s="507" t="s">
        <v>490</v>
      </c>
      <c r="L30" s="507"/>
      <c r="M30" s="507"/>
      <c r="N30" s="507"/>
      <c r="O30" s="507" t="s">
        <v>476</v>
      </c>
      <c r="P30" s="507"/>
      <c r="Q30" s="507"/>
      <c r="R30" s="507"/>
      <c r="S30" s="507"/>
      <c r="T30" s="507"/>
      <c r="U30" s="507"/>
      <c r="V30" s="507"/>
      <c r="W30" s="507" t="s">
        <v>477</v>
      </c>
      <c r="X30" s="507"/>
      <c r="Y30" s="507"/>
      <c r="Z30" s="507"/>
      <c r="AA30" s="507"/>
      <c r="AB30" s="507"/>
      <c r="AC30" s="507"/>
      <c r="AD30" s="507" t="s">
        <v>478</v>
      </c>
      <c r="AE30" s="507"/>
      <c r="AF30" s="507"/>
      <c r="AG30" s="507"/>
      <c r="AH30" s="507"/>
      <c r="AI30" s="507"/>
      <c r="AJ30" s="507"/>
      <c r="AK30" s="507" t="s">
        <v>479</v>
      </c>
      <c r="AL30" s="507"/>
      <c r="AM30" s="507"/>
      <c r="AN30" s="507"/>
      <c r="AO30" s="507"/>
      <c r="AP30" s="507"/>
      <c r="AQ30" s="507"/>
      <c r="AR30" s="507"/>
      <c r="AS30" s="507" t="s">
        <v>480</v>
      </c>
      <c r="AT30" s="507"/>
      <c r="AU30" s="507"/>
      <c r="AV30" s="507"/>
      <c r="AW30" s="507"/>
      <c r="AX30" s="507"/>
      <c r="AY30" s="507"/>
      <c r="AZ30" s="507" t="s">
        <v>481</v>
      </c>
      <c r="BA30" s="507"/>
      <c r="BB30" s="507"/>
      <c r="BC30" s="507"/>
      <c r="BD30" s="507"/>
      <c r="BE30" s="507"/>
      <c r="BF30" s="507"/>
      <c r="BG30" s="507" t="s">
        <v>482</v>
      </c>
      <c r="BH30" s="507"/>
      <c r="BI30" s="507"/>
      <c r="BJ30" s="507"/>
      <c r="BK30" s="507"/>
      <c r="BL30" s="507"/>
      <c r="BM30" s="507"/>
    </row>
    <row r="31" spans="1:65" ht="32.25" customHeight="1">
      <c r="A31" s="507"/>
      <c r="B31" s="507"/>
      <c r="C31" s="507"/>
      <c r="D31" s="507"/>
      <c r="E31" s="507"/>
      <c r="F31" s="507"/>
      <c r="G31" s="507"/>
      <c r="H31" s="507"/>
      <c r="I31" s="507"/>
      <c r="J31" s="507"/>
      <c r="K31" s="507"/>
      <c r="L31" s="507"/>
      <c r="M31" s="507"/>
      <c r="N31" s="507"/>
      <c r="O31" s="507" t="s">
        <v>494</v>
      </c>
      <c r="P31" s="507"/>
      <c r="Q31" s="507"/>
      <c r="R31" s="507"/>
      <c r="S31" s="507" t="s">
        <v>495</v>
      </c>
      <c r="T31" s="507"/>
      <c r="U31" s="507"/>
      <c r="V31" s="507"/>
      <c r="W31" s="507" t="s">
        <v>494</v>
      </c>
      <c r="X31" s="507"/>
      <c r="Y31" s="507"/>
      <c r="Z31" s="507" t="s">
        <v>495</v>
      </c>
      <c r="AA31" s="507"/>
      <c r="AB31" s="507"/>
      <c r="AC31" s="507"/>
      <c r="AD31" s="507" t="s">
        <v>494</v>
      </c>
      <c r="AE31" s="507"/>
      <c r="AF31" s="507"/>
      <c r="AG31" s="507" t="s">
        <v>495</v>
      </c>
      <c r="AH31" s="507"/>
      <c r="AI31" s="507"/>
      <c r="AJ31" s="507"/>
      <c r="AK31" s="507" t="s">
        <v>494</v>
      </c>
      <c r="AL31" s="507"/>
      <c r="AM31" s="507"/>
      <c r="AN31" s="507"/>
      <c r="AO31" s="507" t="s">
        <v>495</v>
      </c>
      <c r="AP31" s="507"/>
      <c r="AQ31" s="507"/>
      <c r="AR31" s="507"/>
      <c r="AS31" s="507" t="s">
        <v>494</v>
      </c>
      <c r="AT31" s="507"/>
      <c r="AU31" s="507"/>
      <c r="AV31" s="507" t="s">
        <v>495</v>
      </c>
      <c r="AW31" s="507"/>
      <c r="AX31" s="507"/>
      <c r="AY31" s="507"/>
      <c r="AZ31" s="507" t="s">
        <v>494</v>
      </c>
      <c r="BA31" s="507"/>
      <c r="BB31" s="507"/>
      <c r="BC31" s="507" t="s">
        <v>495</v>
      </c>
      <c r="BD31" s="507"/>
      <c r="BE31" s="507"/>
      <c r="BF31" s="507"/>
      <c r="BG31" s="507" t="s">
        <v>494</v>
      </c>
      <c r="BH31" s="507"/>
      <c r="BI31" s="507"/>
      <c r="BJ31" s="507" t="s">
        <v>495</v>
      </c>
      <c r="BK31" s="507"/>
      <c r="BL31" s="507"/>
      <c r="BM31" s="507"/>
    </row>
    <row r="32" spans="1:65" ht="15">
      <c r="A32" s="504">
        <v>1</v>
      </c>
      <c r="B32" s="504"/>
      <c r="C32" s="508" t="s">
        <v>463</v>
      </c>
      <c r="D32" s="508"/>
      <c r="E32" s="508"/>
      <c r="F32" s="508"/>
      <c r="G32" s="508"/>
      <c r="H32" s="508"/>
      <c r="I32" s="508"/>
      <c r="J32" s="508"/>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04"/>
      <c r="AO32" s="504"/>
      <c r="AP32" s="504"/>
      <c r="AQ32" s="504"/>
      <c r="AR32" s="504"/>
      <c r="AS32" s="504"/>
      <c r="AT32" s="504"/>
      <c r="AU32" s="504"/>
      <c r="AV32" s="504"/>
      <c r="AW32" s="504"/>
      <c r="AX32" s="504"/>
      <c r="AY32" s="504"/>
      <c r="AZ32" s="504"/>
      <c r="BA32" s="504"/>
      <c r="BB32" s="504"/>
      <c r="BC32" s="504"/>
      <c r="BD32" s="504"/>
      <c r="BE32" s="504"/>
      <c r="BF32" s="504"/>
      <c r="BG32" s="504"/>
      <c r="BH32" s="504"/>
      <c r="BI32" s="504"/>
      <c r="BJ32" s="512"/>
      <c r="BK32" s="512"/>
      <c r="BL32" s="512"/>
      <c r="BM32" s="512"/>
    </row>
    <row r="33" spans="1:65" ht="15">
      <c r="A33" s="505">
        <v>2</v>
      </c>
      <c r="B33" s="505"/>
      <c r="C33" s="506" t="s">
        <v>464</v>
      </c>
      <c r="D33" s="506"/>
      <c r="E33" s="506"/>
      <c r="F33" s="506"/>
      <c r="G33" s="506"/>
      <c r="H33" s="506"/>
      <c r="I33" s="506"/>
      <c r="J33" s="506"/>
      <c r="K33" s="500">
        <f>J26</f>
        <v>5</v>
      </c>
      <c r="L33" s="500"/>
      <c r="M33" s="500"/>
      <c r="N33" s="500"/>
      <c r="O33" s="500">
        <f>COUNTIF(LoaiCQ_TrungCu,"CQ đảng")</f>
        <v>0</v>
      </c>
      <c r="P33" s="500"/>
      <c r="Q33" s="500"/>
      <c r="R33" s="500"/>
      <c r="S33" s="502">
        <f>O33/K33*100</f>
        <v>0</v>
      </c>
      <c r="T33" s="502"/>
      <c r="U33" s="502"/>
      <c r="V33" s="502"/>
      <c r="W33" s="500">
        <f>COUNTIF(LoaiCQ_TrungCu,"Ch quyền")</f>
        <v>1</v>
      </c>
      <c r="X33" s="500"/>
      <c r="Y33" s="500"/>
      <c r="Z33" s="502">
        <f>W33/K33*100</f>
        <v>20</v>
      </c>
      <c r="AA33" s="502"/>
      <c r="AB33" s="502"/>
      <c r="AC33" s="502"/>
      <c r="AD33" s="500">
        <f>COUNTIF(LoaiCQ_TrungCu,"M trận")</f>
        <v>0</v>
      </c>
      <c r="AE33" s="500"/>
      <c r="AF33" s="500"/>
      <c r="AG33" s="500">
        <f>AD33/K33*100</f>
        <v>0</v>
      </c>
      <c r="AH33" s="500"/>
      <c r="AI33" s="500"/>
      <c r="AJ33" s="500"/>
      <c r="AK33" s="500">
        <f>COUNTIF(LoaiCQ_TrungCu,"Tòa án")</f>
        <v>0</v>
      </c>
      <c r="AL33" s="500"/>
      <c r="AM33" s="500"/>
      <c r="AN33" s="500"/>
      <c r="AO33" s="502">
        <f>AK33/K33*100</f>
        <v>0</v>
      </c>
      <c r="AP33" s="502"/>
      <c r="AQ33" s="502"/>
      <c r="AR33" s="502"/>
      <c r="AS33" s="500">
        <f>COUNTIF(LoaiCQ_TrungCu,"VKS")</f>
        <v>0</v>
      </c>
      <c r="AT33" s="500"/>
      <c r="AU33" s="500"/>
      <c r="AV33" s="502">
        <f>AS33/K33*100</f>
        <v>0</v>
      </c>
      <c r="AW33" s="502"/>
      <c r="AX33" s="502"/>
      <c r="AY33" s="502"/>
      <c r="AZ33" s="500">
        <f>COUNTIF(LoaiCQ_TrungCu,"LLVT")</f>
        <v>0</v>
      </c>
      <c r="BA33" s="500"/>
      <c r="BB33" s="500"/>
      <c r="BC33" s="502">
        <f>AZ33/K33*100</f>
        <v>0</v>
      </c>
      <c r="BD33" s="502"/>
      <c r="BE33" s="502"/>
      <c r="BF33" s="502"/>
      <c r="BG33" s="500">
        <f>COUNTIF(LoaiCQ_TrungCu,"Khác")</f>
        <v>0</v>
      </c>
      <c r="BH33" s="500"/>
      <c r="BI33" s="500"/>
      <c r="BJ33" s="502">
        <f>BG33/K33*100</f>
        <v>0</v>
      </c>
      <c r="BK33" s="502"/>
      <c r="BL33" s="502"/>
      <c r="BM33" s="502"/>
    </row>
    <row r="34" spans="1:65" ht="15">
      <c r="A34" s="499">
        <v>3</v>
      </c>
      <c r="B34" s="499"/>
      <c r="C34" s="503" t="s">
        <v>465</v>
      </c>
      <c r="D34" s="503"/>
      <c r="E34" s="503"/>
      <c r="F34" s="503"/>
      <c r="G34" s="503"/>
      <c r="H34" s="503"/>
      <c r="I34" s="503"/>
      <c r="J34" s="503"/>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9"/>
      <c r="BH34" s="499"/>
      <c r="BI34" s="499"/>
      <c r="BJ34" s="501"/>
      <c r="BK34" s="501"/>
      <c r="BL34" s="501"/>
      <c r="BM34" s="501"/>
    </row>
    <row r="35" ht="9" customHeight="1"/>
    <row r="36" spans="48:55" ht="15">
      <c r="AV36" s="214" t="s">
        <v>497</v>
      </c>
      <c r="AZ36" s="214"/>
      <c r="BA36" s="214"/>
      <c r="BB36" s="214"/>
      <c r="BC36" s="214"/>
    </row>
    <row r="37" spans="48:55" ht="15">
      <c r="AV37" s="214" t="s">
        <v>498</v>
      </c>
      <c r="AZ37" s="214"/>
      <c r="BA37" s="214"/>
      <c r="BB37" s="214"/>
      <c r="BC37" s="214"/>
    </row>
  </sheetData>
  <sheetProtection/>
  <mergeCells count="364">
    <mergeCell ref="BK9:BM9"/>
    <mergeCell ref="AY9:BA9"/>
    <mergeCell ref="U8:AI8"/>
    <mergeCell ref="AJ8:AX8"/>
    <mergeCell ref="O9:Q9"/>
    <mergeCell ref="R9:T9"/>
    <mergeCell ref="AY8:BM8"/>
    <mergeCell ref="L9:N9"/>
    <mergeCell ref="AA9:AC9"/>
    <mergeCell ref="AD9:AF9"/>
    <mergeCell ref="U9:W9"/>
    <mergeCell ref="X9:Z9"/>
    <mergeCell ref="A10:B10"/>
    <mergeCell ref="C10:K10"/>
    <mergeCell ref="L10:N10"/>
    <mergeCell ref="O10:Q10"/>
    <mergeCell ref="I4:N4"/>
    <mergeCell ref="A5:BM5"/>
    <mergeCell ref="A6:U6"/>
    <mergeCell ref="A8:B9"/>
    <mergeCell ref="C8:K9"/>
    <mergeCell ref="L8:T8"/>
    <mergeCell ref="R10:T10"/>
    <mergeCell ref="AG9:AI9"/>
    <mergeCell ref="AJ9:AL9"/>
    <mergeCell ref="AG10:AI10"/>
    <mergeCell ref="AJ10:AL10"/>
    <mergeCell ref="U10:W10"/>
    <mergeCell ref="X10:Z10"/>
    <mergeCell ref="AA10:AC10"/>
    <mergeCell ref="AD10:AF10"/>
    <mergeCell ref="BH10:BJ10"/>
    <mergeCell ref="AY10:BA10"/>
    <mergeCell ref="BB10:BD10"/>
    <mergeCell ref="BB9:BD9"/>
    <mergeCell ref="AM9:AO9"/>
    <mergeCell ref="AP9:AR9"/>
    <mergeCell ref="AS9:AU9"/>
    <mergeCell ref="AV9:AX9"/>
    <mergeCell ref="BE9:BG9"/>
    <mergeCell ref="BH9:BJ9"/>
    <mergeCell ref="AJ11:AL11"/>
    <mergeCell ref="AS10:AU10"/>
    <mergeCell ref="AV10:AX10"/>
    <mergeCell ref="AM10:AO10"/>
    <mergeCell ref="AP10:AR10"/>
    <mergeCell ref="BE10:BG10"/>
    <mergeCell ref="AM11:AO11"/>
    <mergeCell ref="AP11:AR11"/>
    <mergeCell ref="BK11:BM11"/>
    <mergeCell ref="U11:W11"/>
    <mergeCell ref="X11:Z11"/>
    <mergeCell ref="AY11:BA11"/>
    <mergeCell ref="BB11:BD11"/>
    <mergeCell ref="AA11:AC11"/>
    <mergeCell ref="AD11:AF11"/>
    <mergeCell ref="AG11:AI11"/>
    <mergeCell ref="BE11:BG11"/>
    <mergeCell ref="BH11:BJ11"/>
    <mergeCell ref="AS11:AU11"/>
    <mergeCell ref="AV11:AX11"/>
    <mergeCell ref="BK10:BM10"/>
    <mergeCell ref="A11:B11"/>
    <mergeCell ref="C11:K11"/>
    <mergeCell ref="L11:N11"/>
    <mergeCell ref="O11:Q11"/>
    <mergeCell ref="R11:T11"/>
    <mergeCell ref="X12:Z12"/>
    <mergeCell ref="BK12:BM12"/>
    <mergeCell ref="AP12:AR12"/>
    <mergeCell ref="AY12:BA12"/>
    <mergeCell ref="BB12:BD12"/>
    <mergeCell ref="BE12:BG12"/>
    <mergeCell ref="BH12:BJ12"/>
    <mergeCell ref="AS12:AU12"/>
    <mergeCell ref="AV12:AX12"/>
    <mergeCell ref="R12:T12"/>
    <mergeCell ref="A13:B13"/>
    <mergeCell ref="C13:K13"/>
    <mergeCell ref="L13:N13"/>
    <mergeCell ref="O13:Q13"/>
    <mergeCell ref="U12:W12"/>
    <mergeCell ref="A12:B12"/>
    <mergeCell ref="C12:K12"/>
    <mergeCell ref="L12:N12"/>
    <mergeCell ref="O12:Q12"/>
    <mergeCell ref="AG12:AI12"/>
    <mergeCell ref="AJ12:AL12"/>
    <mergeCell ref="AM12:AO12"/>
    <mergeCell ref="AA12:AC12"/>
    <mergeCell ref="AD12:AF12"/>
    <mergeCell ref="AG13:AI13"/>
    <mergeCell ref="AJ13:AL13"/>
    <mergeCell ref="AM13:AO13"/>
    <mergeCell ref="AV13:AX13"/>
    <mergeCell ref="BE13:BG13"/>
    <mergeCell ref="BH13:BJ13"/>
    <mergeCell ref="AY13:BA13"/>
    <mergeCell ref="BB13:BD13"/>
    <mergeCell ref="R13:T13"/>
    <mergeCell ref="AP13:AR13"/>
    <mergeCell ref="U13:W13"/>
    <mergeCell ref="X13:Z13"/>
    <mergeCell ref="AA13:AC13"/>
    <mergeCell ref="AD13:AF13"/>
    <mergeCell ref="AS13:AU13"/>
    <mergeCell ref="BK13:BM13"/>
    <mergeCell ref="A14:B14"/>
    <mergeCell ref="C14:K14"/>
    <mergeCell ref="L14:N14"/>
    <mergeCell ref="O14:Q14"/>
    <mergeCell ref="R14:T14"/>
    <mergeCell ref="U14:W14"/>
    <mergeCell ref="X14:Z14"/>
    <mergeCell ref="AM14:AO14"/>
    <mergeCell ref="AP14:AR14"/>
    <mergeCell ref="BE14:BG14"/>
    <mergeCell ref="BH14:BJ14"/>
    <mergeCell ref="AA14:AC14"/>
    <mergeCell ref="AD14:AF14"/>
    <mergeCell ref="AG14:AI14"/>
    <mergeCell ref="AJ14:AL14"/>
    <mergeCell ref="AS14:AU14"/>
    <mergeCell ref="AV14:AX14"/>
    <mergeCell ref="AY14:BA14"/>
    <mergeCell ref="BB14:BD14"/>
    <mergeCell ref="BK14:BM14"/>
    <mergeCell ref="A15:B15"/>
    <mergeCell ref="C15:K15"/>
    <mergeCell ref="L15:N15"/>
    <mergeCell ref="O15:Q15"/>
    <mergeCell ref="R15:T15"/>
    <mergeCell ref="U15:W15"/>
    <mergeCell ref="X15:Z15"/>
    <mergeCell ref="AA15:AC15"/>
    <mergeCell ref="AD15:AF15"/>
    <mergeCell ref="BE15:BG15"/>
    <mergeCell ref="BH15:BJ15"/>
    <mergeCell ref="AY15:BA15"/>
    <mergeCell ref="BB15:BD15"/>
    <mergeCell ref="AM15:AO15"/>
    <mergeCell ref="AP15:AR15"/>
    <mergeCell ref="AS15:AU15"/>
    <mergeCell ref="AV15:AX15"/>
    <mergeCell ref="BK15:BM15"/>
    <mergeCell ref="A18:D19"/>
    <mergeCell ref="E18:H19"/>
    <mergeCell ref="I18:K19"/>
    <mergeCell ref="L18:N19"/>
    <mergeCell ref="O18:Q19"/>
    <mergeCell ref="AG15:AI15"/>
    <mergeCell ref="AJ15:AL15"/>
    <mergeCell ref="AD18:AL18"/>
    <mergeCell ref="AM18:AR18"/>
    <mergeCell ref="AY18:BA19"/>
    <mergeCell ref="BB18:BD19"/>
    <mergeCell ref="BE18:BG19"/>
    <mergeCell ref="BH18:BJ19"/>
    <mergeCell ref="R18:T19"/>
    <mergeCell ref="U18:W19"/>
    <mergeCell ref="X18:Z19"/>
    <mergeCell ref="AA18:AC19"/>
    <mergeCell ref="U20:W20"/>
    <mergeCell ref="X20:Z20"/>
    <mergeCell ref="BK18:BM19"/>
    <mergeCell ref="AD19:AF19"/>
    <mergeCell ref="AG19:AI19"/>
    <mergeCell ref="AJ19:AL19"/>
    <mergeCell ref="AM19:AO19"/>
    <mergeCell ref="AP19:AR19"/>
    <mergeCell ref="AS18:AU19"/>
    <mergeCell ref="AV18:AX19"/>
    <mergeCell ref="A20:D20"/>
    <mergeCell ref="E20:H20"/>
    <mergeCell ref="I20:K20"/>
    <mergeCell ref="L20:N20"/>
    <mergeCell ref="O20:Q20"/>
    <mergeCell ref="R20:T20"/>
    <mergeCell ref="BE20:BG20"/>
    <mergeCell ref="BH20:BJ20"/>
    <mergeCell ref="AY20:BA20"/>
    <mergeCell ref="BB20:BD20"/>
    <mergeCell ref="AS20:AU20"/>
    <mergeCell ref="AV20:AX20"/>
    <mergeCell ref="R23:V23"/>
    <mergeCell ref="W23:AA23"/>
    <mergeCell ref="AM23:AR23"/>
    <mergeCell ref="AS23:AX23"/>
    <mergeCell ref="AA20:AC20"/>
    <mergeCell ref="AD20:AF20"/>
    <mergeCell ref="AM20:AO20"/>
    <mergeCell ref="AP20:AR20"/>
    <mergeCell ref="AG20:AI20"/>
    <mergeCell ref="AJ20:AL20"/>
    <mergeCell ref="BE24:BG24"/>
    <mergeCell ref="BH24:BJ24"/>
    <mergeCell ref="AB24:AC24"/>
    <mergeCell ref="AD24:AF24"/>
    <mergeCell ref="BK20:BM20"/>
    <mergeCell ref="A23:A24"/>
    <mergeCell ref="B23:F24"/>
    <mergeCell ref="G23:I24"/>
    <mergeCell ref="J23:L24"/>
    <mergeCell ref="M23:Q23"/>
    <mergeCell ref="M24:N24"/>
    <mergeCell ref="O24:Q24"/>
    <mergeCell ref="R24:S24"/>
    <mergeCell ref="T24:V24"/>
    <mergeCell ref="AY23:BG23"/>
    <mergeCell ref="BH23:BM23"/>
    <mergeCell ref="W24:X24"/>
    <mergeCell ref="Y24:AA24"/>
    <mergeCell ref="AB23:AF23"/>
    <mergeCell ref="AG23:AL23"/>
    <mergeCell ref="AS24:AU24"/>
    <mergeCell ref="AV24:AX24"/>
    <mergeCell ref="AY24:BA24"/>
    <mergeCell ref="BB24:BD24"/>
    <mergeCell ref="AG24:AI24"/>
    <mergeCell ref="AJ24:AL24"/>
    <mergeCell ref="AM24:AO24"/>
    <mergeCell ref="AP24:AR24"/>
    <mergeCell ref="BK24:BM24"/>
    <mergeCell ref="B25:F25"/>
    <mergeCell ref="G25:I25"/>
    <mergeCell ref="J25:L25"/>
    <mergeCell ref="M25:N25"/>
    <mergeCell ref="O25:Q25"/>
    <mergeCell ref="R25:S25"/>
    <mergeCell ref="T25:V25"/>
    <mergeCell ref="W25:X25"/>
    <mergeCell ref="Y25:AA25"/>
    <mergeCell ref="BE25:BG25"/>
    <mergeCell ref="BH25:BJ25"/>
    <mergeCell ref="AB25:AC25"/>
    <mergeCell ref="AD25:AF25"/>
    <mergeCell ref="AG25:AI25"/>
    <mergeCell ref="AJ25:AL25"/>
    <mergeCell ref="AM25:AO25"/>
    <mergeCell ref="AP25:AR25"/>
    <mergeCell ref="AS25:AU25"/>
    <mergeCell ref="AV25:AX25"/>
    <mergeCell ref="AY25:BA25"/>
    <mergeCell ref="BB25:BD25"/>
    <mergeCell ref="BK25:BM25"/>
    <mergeCell ref="B26:F26"/>
    <mergeCell ref="G26:I26"/>
    <mergeCell ref="J26:L26"/>
    <mergeCell ref="M26:N26"/>
    <mergeCell ref="O26:Q26"/>
    <mergeCell ref="R26:S26"/>
    <mergeCell ref="T26:V26"/>
    <mergeCell ref="BK26:BM26"/>
    <mergeCell ref="B27:F27"/>
    <mergeCell ref="G27:I27"/>
    <mergeCell ref="J27:L27"/>
    <mergeCell ref="M27:N27"/>
    <mergeCell ref="O27:Q27"/>
    <mergeCell ref="BE26:BG26"/>
    <mergeCell ref="BH26:BJ26"/>
    <mergeCell ref="AB26:AC26"/>
    <mergeCell ref="AD26:AF26"/>
    <mergeCell ref="W26:X26"/>
    <mergeCell ref="Y26:AA26"/>
    <mergeCell ref="AG26:AI26"/>
    <mergeCell ref="AJ26:AL26"/>
    <mergeCell ref="AM26:AO26"/>
    <mergeCell ref="AP26:AR26"/>
    <mergeCell ref="AY27:BA27"/>
    <mergeCell ref="BB27:BD27"/>
    <mergeCell ref="AM27:AO27"/>
    <mergeCell ref="AP27:AR27"/>
    <mergeCell ref="AY26:BA26"/>
    <mergeCell ref="BB26:BD26"/>
    <mergeCell ref="AS26:AU26"/>
    <mergeCell ref="AV26:AX26"/>
    <mergeCell ref="AK30:AR30"/>
    <mergeCell ref="R27:S27"/>
    <mergeCell ref="T27:V27"/>
    <mergeCell ref="W27:X27"/>
    <mergeCell ref="Y27:AA27"/>
    <mergeCell ref="AB27:AC27"/>
    <mergeCell ref="AD27:AF27"/>
    <mergeCell ref="AG27:AI27"/>
    <mergeCell ref="AJ27:AL27"/>
    <mergeCell ref="A30:B31"/>
    <mergeCell ref="C30:J31"/>
    <mergeCell ref="K30:N31"/>
    <mergeCell ref="O30:V30"/>
    <mergeCell ref="W30:AC30"/>
    <mergeCell ref="AD30:AJ30"/>
    <mergeCell ref="AO32:AR32"/>
    <mergeCell ref="AS27:AU27"/>
    <mergeCell ref="AV27:AX27"/>
    <mergeCell ref="BK27:BM27"/>
    <mergeCell ref="BE27:BG27"/>
    <mergeCell ref="BH27:BJ27"/>
    <mergeCell ref="BJ32:BM32"/>
    <mergeCell ref="AO31:AR31"/>
    <mergeCell ref="AS31:AU31"/>
    <mergeCell ref="BJ31:BM31"/>
    <mergeCell ref="AK31:AN31"/>
    <mergeCell ref="AS30:AY30"/>
    <mergeCell ref="AZ30:BF30"/>
    <mergeCell ref="S32:V32"/>
    <mergeCell ref="AV31:AY31"/>
    <mergeCell ref="W32:Y32"/>
    <mergeCell ref="Z32:AC32"/>
    <mergeCell ref="AD32:AF32"/>
    <mergeCell ref="AG32:AJ32"/>
    <mergeCell ref="AK32:AN32"/>
    <mergeCell ref="C32:J32"/>
    <mergeCell ref="K32:N32"/>
    <mergeCell ref="O32:R32"/>
    <mergeCell ref="BG30:BM30"/>
    <mergeCell ref="O31:R31"/>
    <mergeCell ref="S31:V31"/>
    <mergeCell ref="W31:Y31"/>
    <mergeCell ref="Z31:AC31"/>
    <mergeCell ref="AD31:AF31"/>
    <mergeCell ref="AG31:AJ31"/>
    <mergeCell ref="BC31:BF31"/>
    <mergeCell ref="BG31:BI31"/>
    <mergeCell ref="BG32:BI32"/>
    <mergeCell ref="AZ31:BB31"/>
    <mergeCell ref="AZ32:BB32"/>
    <mergeCell ref="BC32:BF32"/>
    <mergeCell ref="AS32:AU32"/>
    <mergeCell ref="AV32:AY32"/>
    <mergeCell ref="A33:B33"/>
    <mergeCell ref="C33:J33"/>
    <mergeCell ref="K33:N33"/>
    <mergeCell ref="O33:R33"/>
    <mergeCell ref="S33:V33"/>
    <mergeCell ref="W33:Y33"/>
    <mergeCell ref="AD33:AF33"/>
    <mergeCell ref="A32:B32"/>
    <mergeCell ref="W34:Y34"/>
    <mergeCell ref="Z34:AC34"/>
    <mergeCell ref="S34:V34"/>
    <mergeCell ref="Z33:AC33"/>
    <mergeCell ref="A34:B34"/>
    <mergeCell ref="C34:J34"/>
    <mergeCell ref="K34:N34"/>
    <mergeCell ref="O34:R34"/>
    <mergeCell ref="AG33:AJ33"/>
    <mergeCell ref="AK33:AN33"/>
    <mergeCell ref="AV33:AY33"/>
    <mergeCell ref="AZ33:BB33"/>
    <mergeCell ref="AO33:AR33"/>
    <mergeCell ref="AS33:AU33"/>
    <mergeCell ref="AD34:AF34"/>
    <mergeCell ref="AG34:AJ34"/>
    <mergeCell ref="AK34:AN34"/>
    <mergeCell ref="AO34:AR34"/>
    <mergeCell ref="AV34:AY34"/>
    <mergeCell ref="AZ34:BB34"/>
    <mergeCell ref="AS34:AU34"/>
    <mergeCell ref="BC34:BF34"/>
    <mergeCell ref="BG33:BI33"/>
    <mergeCell ref="BG34:BI34"/>
    <mergeCell ref="BJ34:BM34"/>
    <mergeCell ref="BJ33:BM33"/>
    <mergeCell ref="BC33:BF33"/>
  </mergeCells>
  <printOptions horizontalCentered="1"/>
  <pageMargins left="0.1968503937007874" right="0.15748031496062992" top="0.3937007874015748" bottom="0.5511811023622047" header="0.31496062992125984" footer="0.31496062992125984"/>
  <pageSetup fitToHeight="0" fitToWidth="1" horizontalDpi="600" verticalDpi="600" orientation="landscape" paperSize="9" scale="97" r:id="rId2"/>
  <headerFooter>
    <oddFooter>&amp;Ctrang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2016-04-22T10:55:55Z</cp:lastPrinted>
  <dcterms:created xsi:type="dcterms:W3CDTF">2016-04-20T03:43:33Z</dcterms:created>
  <dcterms:modified xsi:type="dcterms:W3CDTF">2016-05-06T03:27:03Z</dcterms:modified>
  <cp:category/>
  <cp:version/>
  <cp:contentType/>
  <cp:contentStatus/>
</cp:coreProperties>
</file>